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userName="s273689" algorithmName="SHA-512" hashValue="dU0vOkSJ8tpx/ujJVAyfiLKipofxXeOa8gDX/aDOMwLoOHFREMZbkb7DhRq8lAv0LXaw06C8+6mQNSR7QMFeiQ==" saltValue="4YgSyg8dE0cXL9OONZB3wA==" spinCount="100000"/>
  <workbookPr filterPrivacy="1" showInkAnnotation="0" codeName="ThisWorkbook" defaultThemeVersion="124226"/>
  <xr:revisionPtr revIDLastSave="0" documentId="8_{55ACEBB2-1C90-4639-AE8B-012B275A5689}"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1" r:id="rId6"/>
    <sheet name="WS B-3-A" sheetId="53" r:id="rId7"/>
    <sheet name="WS B-3-B" sheetId="54"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state="hidden" r:id="rId17"/>
    <sheet name="WS K TRUE-UP RTEP RR" sheetId="13" r:id="rId18"/>
    <sheet name="WS L Reserved" sheetId="14" r:id="rId19"/>
    <sheet name="WS M - Cost of Capital" sheetId="41" r:id="rId20"/>
    <sheet name="WS N - Sale of Plant Held" sheetId="21" r:id="rId21"/>
    <sheet name="WS O - PBOP" sheetId="48" r:id="rId22"/>
    <sheet name="APCo - WS P Dep. Rates" sheetId="31" r:id="rId23"/>
    <sheet name="IMC - WS P Dep. Rates" sheetId="52" r:id="rId24"/>
    <sheet name="KGP - WS P Dep. Rates" sheetId="43" r:id="rId25"/>
    <sheet name="KPC - WS P Dep. Rates" sheetId="44" r:id="rId26"/>
    <sheet name="OPC - WS P Dep. Rates" sheetId="45" r:id="rId27"/>
    <sheet name="WPC-WS P Dep. Rates" sheetId="46" r:id="rId28"/>
    <sheet name="WSQ NSPR" sheetId="47" r:id="rId29"/>
    <sheet name="WSQ Schedule 12" sheetId="49" r:id="rId30"/>
    <sheet name="WSQ Schedule 1A" sheetId="50" r:id="rId31"/>
  </sheets>
  <definedNames>
    <definedName name="_NPh1" localSheetId="23">#REF!</definedName>
    <definedName name="_NPh1" localSheetId="6">#REF!</definedName>
    <definedName name="_NPh1">#REF!</definedName>
    <definedName name="ActExcessAmt" localSheetId="23">#REF!</definedName>
    <definedName name="ActExcessAmt" localSheetId="6">#REF!</definedName>
    <definedName name="ActExcessAmt">#REF!</definedName>
    <definedName name="ActGrTaxAmt" localSheetId="6">#REF!</definedName>
    <definedName name="ActGrTaxAmt">#REF!</definedName>
    <definedName name="ActKWHExcess" localSheetId="6">#REF!</definedName>
    <definedName name="ActKWHExcess">#REF!</definedName>
    <definedName name="ActKWHNotUsed" localSheetId="6">#REF!</definedName>
    <definedName name="ActKWHNotUsed">#REF!</definedName>
    <definedName name="ActKWHRes" localSheetId="6">#REF!</definedName>
    <definedName name="ActKWHRes">#REF!</definedName>
    <definedName name="ActKWHSubTot" localSheetId="6">#REF!</definedName>
    <definedName name="ActKWHSubTot">#REF!</definedName>
    <definedName name="ActKWHTot" localSheetId="6">#REF!</definedName>
    <definedName name="ActKWHTot">#REF!</definedName>
    <definedName name="ActNotUsedAmt" localSheetId="6">#REF!</definedName>
    <definedName name="ActNotUsedAmt">#REF!</definedName>
    <definedName name="ActResAmt" localSheetId="6">#REF!</definedName>
    <definedName name="ActResAmt">#REF!</definedName>
    <definedName name="ActSubTotAmt" localSheetId="6">#REF!</definedName>
    <definedName name="ActSubTotAmt">#REF!</definedName>
    <definedName name="ActTotAmt" localSheetId="6">#REF!</definedName>
    <definedName name="ActTotAmt">#REF!</definedName>
    <definedName name="AdminChg" localSheetId="6">#REF!</definedName>
    <definedName name="AdminChg">#REF!</definedName>
    <definedName name="AEP" localSheetId="6">#REF!</definedName>
    <definedName name="AEP">#REF!</definedName>
    <definedName name="allocator" localSheetId="6">#REF!</definedName>
    <definedName name="allocator">#REF!</definedName>
    <definedName name="allocators" localSheetId="6">#REF!</definedName>
    <definedName name="allocators">#REF!</definedName>
    <definedName name="allocatorsSWP" localSheetId="6">#REF!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 localSheetId="6">#REF!</definedName>
    <definedName name="AVRGPWRFCTR">#REF!</definedName>
    <definedName name="B1HRSCRMO" localSheetId="6">#REF!</definedName>
    <definedName name="B1HRSCRMO">#REF!</definedName>
    <definedName name="B2HRSCRMO" localSheetId="6">#REF!</definedName>
    <definedName name="B2HRSCRMO">#REF!</definedName>
    <definedName name="BASERATECHG" localSheetId="6">#REF!</definedName>
    <definedName name="BASERATECHG">#REF!</definedName>
    <definedName name="BILLKWH" localSheetId="6">#REF!</definedName>
    <definedName name="BILLKWH">#REF!</definedName>
    <definedName name="BIRPCCHG" localSheetId="6">#REF!</definedName>
    <definedName name="BIRPCCHG">#REF!</definedName>
    <definedName name="BIRPDCHG1" localSheetId="6">#REF!</definedName>
    <definedName name="BIRPDCHG1">#REF!</definedName>
    <definedName name="BIRPDCHG2" localSheetId="6">#REF!</definedName>
    <definedName name="BIRPDCHG2">#REF!</definedName>
    <definedName name="BIRPECHG1" localSheetId="6">#REF!</definedName>
    <definedName name="BIRPECHG1">#REF!</definedName>
    <definedName name="BIRPECHGB1" localSheetId="6">#REF!</definedName>
    <definedName name="BIRPECHGB1">#REF!</definedName>
    <definedName name="BIRPECHGB2" localSheetId="6">#REF!</definedName>
    <definedName name="BIRPECHGB2">#REF!</definedName>
    <definedName name="BIRPECHGB3" localSheetId="6">#REF!</definedName>
    <definedName name="BIRPECHGB3">#REF!</definedName>
    <definedName name="BIRPECHGW" localSheetId="6">#REF!</definedName>
    <definedName name="BIRPECHGW">#REF!</definedName>
    <definedName name="BIRPKWH1" localSheetId="6">#REF!</definedName>
    <definedName name="BIRPKWH1">#REF!</definedName>
    <definedName name="BIRPKWHB1" localSheetId="6">#REF!</definedName>
    <definedName name="BIRPKWHB1">#REF!</definedName>
    <definedName name="BIRPKWHB2" localSheetId="6">#REF!</definedName>
    <definedName name="BIRPKWHB2">#REF!</definedName>
    <definedName name="BIRPKWHB3" localSheetId="6">#REF!</definedName>
    <definedName name="BIRPKWHB3">#REF!</definedName>
    <definedName name="BIRPKWHWH" localSheetId="6">#REF!</definedName>
    <definedName name="BIRPKWHWH">#REF!</definedName>
    <definedName name="BIRPMECHG1" localSheetId="6">#REF!</definedName>
    <definedName name="BIRPMECHG1">#REF!</definedName>
    <definedName name="BIRPOFKWH" localSheetId="6">#REF!</definedName>
    <definedName name="BIRPOFKWH">#REF!</definedName>
    <definedName name="BIRPOPKWH" localSheetId="6">#REF!</definedName>
    <definedName name="BIRPOPKWH">#REF!</definedName>
    <definedName name="BIRPP1EC" localSheetId="6">#REF!</definedName>
    <definedName name="BIRPP1EC">#REF!</definedName>
    <definedName name="BIRPP2EC" localSheetId="6">#REF!</definedName>
    <definedName name="BIRPP2EC">#REF!</definedName>
    <definedName name="BIRPP3EC" localSheetId="6">#REF!</definedName>
    <definedName name="BIRPP3EC">#REF!</definedName>
    <definedName name="BIRPP4EC" localSheetId="6">#REF!</definedName>
    <definedName name="BIRPP4EC">#REF!</definedName>
    <definedName name="BIRPP5EC" localSheetId="6">#REF!</definedName>
    <definedName name="BIRPP5EC">#REF!</definedName>
    <definedName name="BIRPPDMDCHG" localSheetId="6">#REF!</definedName>
    <definedName name="BIRPPDMDCHG">#REF!</definedName>
    <definedName name="BIRPRCHG" localSheetId="6">#REF!</definedName>
    <definedName name="BIRPRCHG">#REF!</definedName>
    <definedName name="BIRPXKVA" localSheetId="6">#REF!</definedName>
    <definedName name="BIRPXKVA">#REF!</definedName>
    <definedName name="BIRPXKVAPCT" localSheetId="6">#REF!</definedName>
    <definedName name="BIRPXKVAPCT">#REF!</definedName>
    <definedName name="BIRPXOFKW" localSheetId="6">#REF!</definedName>
    <definedName name="BIRPXOFKW">#REF!</definedName>
    <definedName name="BKUPKWH" localSheetId="6">#REF!</definedName>
    <definedName name="BKUPKWH">#REF!</definedName>
    <definedName name="BLDAMNT" localSheetId="6">#REF!</definedName>
    <definedName name="BLDAMNT">#REF!</definedName>
    <definedName name="BLDDMND" localSheetId="6">#REF!</definedName>
    <definedName name="BLDDMND">#REF!</definedName>
    <definedName name="BLDKWH" localSheetId="6">#REF!</definedName>
    <definedName name="BLDKWH">#REF!</definedName>
    <definedName name="BLDOPDMND" localSheetId="6">#REF!</definedName>
    <definedName name="BLDOPDMND">#REF!</definedName>
    <definedName name="BLNGKWB4EDR" localSheetId="6">#REF!</definedName>
    <definedName name="BLNGKWB4EDR">#REF!</definedName>
    <definedName name="BLNGKWH" localSheetId="6">#REF!</definedName>
    <definedName name="BLNGKWH">#REF!</definedName>
    <definedName name="BLNGKWHTTL" localSheetId="6">#REF!</definedName>
    <definedName name="BLNGKWHTTL">#REF!</definedName>
    <definedName name="BndBlkKwh1" localSheetId="6">#REF!</definedName>
    <definedName name="BndBlkKwh1">#REF!</definedName>
    <definedName name="BndBlkKwh2" localSheetId="6">#REF!</definedName>
    <definedName name="BndBlkKwh2">#REF!</definedName>
    <definedName name="BndBlkKwh3" localSheetId="6">#REF!</definedName>
    <definedName name="BndBlkKwh3">#REF!</definedName>
    <definedName name="BndBlkKwhChg1" localSheetId="6">#REF!</definedName>
    <definedName name="BndBlkKwhChg1">#REF!</definedName>
    <definedName name="BndBlkKwhChg2" localSheetId="6">#REF!</definedName>
    <definedName name="BndBlkKwhChg2">#REF!</definedName>
    <definedName name="BndBlkKwhChg3" localSheetId="6">#REF!</definedName>
    <definedName name="BndBlkKwhChg3">#REF!</definedName>
    <definedName name="BndBlkKwhChgT" localSheetId="6">#REF!</definedName>
    <definedName name="BndBlkKwhChgT">#REF!</definedName>
    <definedName name="BndBlkKwhChgW" localSheetId="6">#REF!</definedName>
    <definedName name="BndBlkKwhChgW">#REF!</definedName>
    <definedName name="BndBlkKwhT" localSheetId="6">#REF!</definedName>
    <definedName name="BndBlkKwhT">#REF!</definedName>
    <definedName name="BndBlkKwhW" localSheetId="6">#REF!</definedName>
    <definedName name="BndBlkKwhW">#REF!</definedName>
    <definedName name="BndCustChg" localSheetId="6">#REF!</definedName>
    <definedName name="BndCustChg">#REF!</definedName>
    <definedName name="BndDmdChg1" localSheetId="6">#REF!</definedName>
    <definedName name="BndDmdChg1">#REF!</definedName>
    <definedName name="BndDmdChg2" localSheetId="6">#REF!</definedName>
    <definedName name="BndDmdChg2">#REF!</definedName>
    <definedName name="BndExcsKvaPct" localSheetId="6">#REF!</definedName>
    <definedName name="BndExcsKvaPct">#REF!</definedName>
    <definedName name="BndMEChg" localSheetId="6">#REF!</definedName>
    <definedName name="BndMEChg">#REF!</definedName>
    <definedName name="BndOffPkKwh" localSheetId="6">#REF!</definedName>
    <definedName name="BndOffPkKwh">#REF!</definedName>
    <definedName name="BndOnPkKwh" localSheetId="6">#REF!</definedName>
    <definedName name="BndOnPkKwh">#REF!</definedName>
    <definedName name="BndPL1Chg" localSheetId="6">#REF!</definedName>
    <definedName name="BndPL1Chg">#REF!</definedName>
    <definedName name="BndPL2Chg" localSheetId="6">#REF!</definedName>
    <definedName name="BndPL2Chg">#REF!</definedName>
    <definedName name="BndPL3Chg" localSheetId="6">#REF!</definedName>
    <definedName name="BndPL3Chg">#REF!</definedName>
    <definedName name="BndPL4Chg" localSheetId="6">#REF!</definedName>
    <definedName name="BndPL4Chg">#REF!</definedName>
    <definedName name="BndPL5Chg" localSheetId="6">#REF!</definedName>
    <definedName name="BndPL5Chg">#REF!</definedName>
    <definedName name="BndReactiveChg" localSheetId="6">#REF!</definedName>
    <definedName name="BndReactiveChg">#REF!</definedName>
    <definedName name="BndXOfpKvaChg" localSheetId="6">#REF!</definedName>
    <definedName name="BndXOfpKvaChg">#REF!</definedName>
    <definedName name="BndXOfpKwChg" localSheetId="6">#REF!</definedName>
    <definedName name="BndXOfpKwChg">#REF!</definedName>
    <definedName name="BTTrueUp" localSheetId="6">#REF!</definedName>
    <definedName name="BTTrueUp">#REF!</definedName>
    <definedName name="BUNCCHG" localSheetId="6">#REF!</definedName>
    <definedName name="BUNCCHG">#REF!</definedName>
    <definedName name="BUNDCHG1" localSheetId="6">#REF!</definedName>
    <definedName name="BUNDCHG1">#REF!</definedName>
    <definedName name="BUNDCHG2" localSheetId="6">#REF!</definedName>
    <definedName name="BUNDCHG2">#REF!</definedName>
    <definedName name="BUNECHG1" localSheetId="6">#REF!</definedName>
    <definedName name="BUNECHG1">#REF!</definedName>
    <definedName name="BUNECHGB1" localSheetId="6">#REF!</definedName>
    <definedName name="BUNECHGB1">#REF!</definedName>
    <definedName name="BUNECHGB2" localSheetId="6">#REF!</definedName>
    <definedName name="BUNECHGB2">#REF!</definedName>
    <definedName name="BUNECHGB3" localSheetId="6">#REF!</definedName>
    <definedName name="BUNECHGB3">#REF!</definedName>
    <definedName name="BUNECHGW" localSheetId="6">#REF!</definedName>
    <definedName name="BUNECHGW">#REF!</definedName>
    <definedName name="BUNKWH1" localSheetId="6">#REF!</definedName>
    <definedName name="BUNKWH1">#REF!</definedName>
    <definedName name="BUNKWHB1" localSheetId="6">#REF!</definedName>
    <definedName name="BUNKWHB1">#REF!</definedName>
    <definedName name="BUNKWHB2" localSheetId="6">#REF!</definedName>
    <definedName name="BUNKWHB2">#REF!</definedName>
    <definedName name="BUNKWHB3" localSheetId="6">#REF!</definedName>
    <definedName name="BUNKWHB3">#REF!</definedName>
    <definedName name="BUNKWHWH" localSheetId="6">#REF!</definedName>
    <definedName name="BUNKWHWH">#REF!</definedName>
    <definedName name="BUNMECHG1" localSheetId="6">#REF!</definedName>
    <definedName name="BUNMECHG1">#REF!</definedName>
    <definedName name="BUNOFKWH" localSheetId="6">#REF!</definedName>
    <definedName name="BUNOFKWH">#REF!</definedName>
    <definedName name="BUNOPKWH" localSheetId="6">#REF!</definedName>
    <definedName name="BUNOPKWH">#REF!</definedName>
    <definedName name="BUNP1EC" localSheetId="6">#REF!</definedName>
    <definedName name="BUNP1EC">#REF!</definedName>
    <definedName name="BUNP2EC" localSheetId="6">#REF!</definedName>
    <definedName name="BUNP2EC">#REF!</definedName>
    <definedName name="BUNP3EC" localSheetId="6">#REF!</definedName>
    <definedName name="BUNP3EC">#REF!</definedName>
    <definedName name="BUNP4EC" localSheetId="6">#REF!</definedName>
    <definedName name="BUNP4EC">#REF!</definedName>
    <definedName name="BUNP5EC" localSheetId="6">#REF!</definedName>
    <definedName name="BUNP5EC">#REF!</definedName>
    <definedName name="BUNPDMDCHG" localSheetId="6">#REF!</definedName>
    <definedName name="BUNPDMDCHG">#REF!</definedName>
    <definedName name="BUNRCHG" localSheetId="6">#REF!</definedName>
    <definedName name="BUNRCHG">#REF!</definedName>
    <definedName name="BUNXKVA" localSheetId="6">#REF!</definedName>
    <definedName name="BUNXKVA">#REF!</definedName>
    <definedName name="BUNXKVAPCT" localSheetId="6">#REF!</definedName>
    <definedName name="BUNXKVAPCT">#REF!</definedName>
    <definedName name="BUNXOFKW" localSheetId="6">#REF!</definedName>
    <definedName name="BUNXOFKW">#REF!</definedName>
    <definedName name="CALCPFCC" localSheetId="6">#REF!</definedName>
    <definedName name="CALCPFCC">#REF!</definedName>
    <definedName name="CAPDEFA" localSheetId="6">#REF!</definedName>
    <definedName name="CAPDEFA">#REF!</definedName>
    <definedName name="CBLKWH" localSheetId="6">#REF!</definedName>
    <definedName name="CBLKWH">#REF!</definedName>
    <definedName name="City" localSheetId="6">#REF!</definedName>
    <definedName name="City">#REF!</definedName>
    <definedName name="CNTRCTDMND" localSheetId="6">#REF!</definedName>
    <definedName name="CNTRCTDMND">#REF!</definedName>
    <definedName name="CoPhoneLine" localSheetId="6">#REF!</definedName>
    <definedName name="CoPhoneLine">#REF!</definedName>
    <definedName name="CRMOINTRPTHRS" localSheetId="6">#REF!</definedName>
    <definedName name="CRMOINTRPTHRS">#REF!</definedName>
    <definedName name="CRNTMOBTKWH" localSheetId="6">#REF!</definedName>
    <definedName name="CRNTMOBTKWH">#REF!</definedName>
    <definedName name="CRNTMOFPKHRS" localSheetId="6">#REF!</definedName>
    <definedName name="CRNTMOFPKHRS">#REF!</definedName>
    <definedName name="CRNTMONPKHRS" localSheetId="6">#REF!</definedName>
    <definedName name="CRNTMONPKHRS">#REF!</definedName>
    <definedName name="CRTLBLONPKHRS" localSheetId="6">#REF!</definedName>
    <definedName name="CRTLBLONPKHRS">#REF!</definedName>
    <definedName name="CRTLBLONPKKWH" localSheetId="6">#REF!</definedName>
    <definedName name="CRTLBLONPKKWH">#REF!</definedName>
    <definedName name="CSTMRCHG" localSheetId="6">#REF!</definedName>
    <definedName name="CSTMRCHG">#REF!</definedName>
    <definedName name="CurMoAddr1" localSheetId="6">#REF!</definedName>
    <definedName name="CurMoAddr1">#REF!</definedName>
    <definedName name="CurMoAddr2" localSheetId="6">#REF!</definedName>
    <definedName name="CurMoAddr2">#REF!</definedName>
    <definedName name="CurMoBTDetail" localSheetId="6">#REF!</definedName>
    <definedName name="CurMoBTDetail">#REF!</definedName>
    <definedName name="CurMoBuyThrgh_Sheet" localSheetId="6">#REF!</definedName>
    <definedName name="CurMoBuyThrgh_Sheet">#REF!</definedName>
    <definedName name="CurMoCityStZip" localSheetId="6">#REF!</definedName>
    <definedName name="CurMoCityStZip">#REF!</definedName>
    <definedName name="CurMoCustName" localSheetId="6">#REF!</definedName>
    <definedName name="CurMoCustName">#REF!</definedName>
    <definedName name="CurMoExcessAmt" localSheetId="6">#REF!</definedName>
    <definedName name="CurMoExcessAmt">#REF!</definedName>
    <definedName name="CurMoGrTaxAmt" localSheetId="6">#REF!</definedName>
    <definedName name="CurMoGrTaxAmt">#REF!</definedName>
    <definedName name="CurMoKWHExcess" localSheetId="6">#REF!</definedName>
    <definedName name="CurMoKWHExcess">#REF!</definedName>
    <definedName name="CurMoKWHNotUsed" localSheetId="6">#REF!</definedName>
    <definedName name="CurMoKWHNotUsed">#REF!</definedName>
    <definedName name="CurMoKWHRes" localSheetId="6">#REF!</definedName>
    <definedName name="CurMoKWHRes">#REF!</definedName>
    <definedName name="CurMoKWHSubTot" localSheetId="6">#REF!</definedName>
    <definedName name="CurMoKWHSubTot">#REF!</definedName>
    <definedName name="CurMoKWHTot" localSheetId="6">#REF!</definedName>
    <definedName name="CurMoKWHTot">#REF!</definedName>
    <definedName name="CurMoMtrMult" localSheetId="6">#REF!</definedName>
    <definedName name="CurMoMtrMult">#REF!</definedName>
    <definedName name="CurMoNotUsedAmt" localSheetId="6">#REF!</definedName>
    <definedName name="CurMoNotUsedAmt">#REF!</definedName>
    <definedName name="CurMoResAmt" localSheetId="6">#REF!</definedName>
    <definedName name="CurMoResAmt">#REF!</definedName>
    <definedName name="CurMoSubTotAmt" localSheetId="6">#REF!</definedName>
    <definedName name="CurMoSubTotAmt">#REF!</definedName>
    <definedName name="CurMoTotAmt" localSheetId="6">#REF!</definedName>
    <definedName name="CurMoTotAmt">#REF!</definedName>
    <definedName name="CurrYear" localSheetId="6">#REF!</definedName>
    <definedName name="CurrYear">#REF!</definedName>
    <definedName name="CustAddr1" localSheetId="6">#REF!</definedName>
    <definedName name="CustAddr1">#REF!</definedName>
    <definedName name="CustAddr2" localSheetId="6">#REF!</definedName>
    <definedName name="CustAddr2">#REF!</definedName>
    <definedName name="CustCityStZip" localSheetId="6">#REF!</definedName>
    <definedName name="CustCityStZip">#REF!</definedName>
    <definedName name="CustName2" localSheetId="6">#REF!</definedName>
    <definedName name="CustName2">#REF!</definedName>
    <definedName name="CustTable" localSheetId="6">#REF!</definedName>
    <definedName name="CustTable">#REF!</definedName>
    <definedName name="DetailTotCbl" localSheetId="6">#REF!</definedName>
    <definedName name="DetailTotCbl">#REF!</definedName>
    <definedName name="DetailTotChg" localSheetId="6">#REF!</definedName>
    <definedName name="DetailTotChg">#REF!</definedName>
    <definedName name="DetailTotKw" localSheetId="6">#REF!</definedName>
    <definedName name="DetailTotKw">#REF!</definedName>
    <definedName name="DetailTotMargin" localSheetId="6">#REF!</definedName>
    <definedName name="DetailTotMargin">#REF!</definedName>
    <definedName name="DIRPCCHG" localSheetId="6">#REF!</definedName>
    <definedName name="DIRPCCHG">#REF!</definedName>
    <definedName name="DIRPDCHG1" localSheetId="6">#REF!</definedName>
    <definedName name="DIRPDCHG1">#REF!</definedName>
    <definedName name="DIRPDCHG2" localSheetId="6">#REF!</definedName>
    <definedName name="DIRPDCHG2">#REF!</definedName>
    <definedName name="DIRPECHG1" localSheetId="6">#REF!</definedName>
    <definedName name="DIRPECHG1">#REF!</definedName>
    <definedName name="DIRPECHGB1" localSheetId="6">#REF!</definedName>
    <definedName name="DIRPECHGB1">#REF!</definedName>
    <definedName name="DIRPECHGB2" localSheetId="6">#REF!</definedName>
    <definedName name="DIRPECHGB2">#REF!</definedName>
    <definedName name="DIRPECHGB3" localSheetId="6">#REF!</definedName>
    <definedName name="DIRPECHGB3">#REF!</definedName>
    <definedName name="DIRPMECHG1" localSheetId="6">#REF!</definedName>
    <definedName name="DIRPMECHG1">#REF!</definedName>
    <definedName name="DIRPMINDC" localSheetId="6">#REF!</definedName>
    <definedName name="DIRPMINDC">#REF!</definedName>
    <definedName name="DIRPMINEC" localSheetId="6">#REF!</definedName>
    <definedName name="DIRPMINEC">#REF!</definedName>
    <definedName name="DIRPOFKVA" localSheetId="6">#REF!</definedName>
    <definedName name="DIRPOFKVA">#REF!</definedName>
    <definedName name="DIRPOFKW" localSheetId="6">#REF!</definedName>
    <definedName name="DIRPOFKW">#REF!</definedName>
    <definedName name="DIRPOFKWH" localSheetId="6">#REF!</definedName>
    <definedName name="DIRPOFKWH">#REF!</definedName>
    <definedName name="DIRPOPKWH" localSheetId="6">#REF!</definedName>
    <definedName name="DIRPOPKWH">#REF!</definedName>
    <definedName name="DIRPP1EC" localSheetId="6">#REF!</definedName>
    <definedName name="DIRPP1EC">#REF!</definedName>
    <definedName name="DIRPP2EC" localSheetId="6">#REF!</definedName>
    <definedName name="DIRPP2EC">#REF!</definedName>
    <definedName name="DIRPP3EC" localSheetId="6">#REF!</definedName>
    <definedName name="DIRPP3EC">#REF!</definedName>
    <definedName name="DIRPP4EC" localSheetId="6">#REF!</definedName>
    <definedName name="DIRPP4EC">#REF!</definedName>
    <definedName name="DIRPP5EC" localSheetId="6">#REF!</definedName>
    <definedName name="DIRPP5EC">#REF!</definedName>
    <definedName name="DIRPRCHG" localSheetId="6">#REF!</definedName>
    <definedName name="DIRPRCHG">#REF!</definedName>
    <definedName name="DisBlkKwhChg1" localSheetId="6">#REF!</definedName>
    <definedName name="DisBlkKwhChg1">#REF!</definedName>
    <definedName name="DisBlkKwhChg2" localSheetId="6">#REF!</definedName>
    <definedName name="DisBlkKwhChg2">#REF!</definedName>
    <definedName name="DisBlkKwhChg3" localSheetId="6">#REF!</definedName>
    <definedName name="DisBlkKwhChg3">#REF!</definedName>
    <definedName name="DisBlkKwhChgT" localSheetId="6">#REF!</definedName>
    <definedName name="DisBlkKwhChgT">#REF!</definedName>
    <definedName name="DisCustChg" localSheetId="6">#REF!</definedName>
    <definedName name="DisCustChg">#REF!</definedName>
    <definedName name="DisDmdChg1" localSheetId="6">#REF!</definedName>
    <definedName name="DisDmdChg1">#REF!</definedName>
    <definedName name="DisDmdChg2" localSheetId="6">#REF!</definedName>
    <definedName name="DisDmdChg2">#REF!</definedName>
    <definedName name="DisMEChg" localSheetId="6">#REF!</definedName>
    <definedName name="DisMEChg">#REF!</definedName>
    <definedName name="DisMinDChg" localSheetId="6">#REF!</definedName>
    <definedName name="DisMinDChg">#REF!</definedName>
    <definedName name="DisMinEChg" localSheetId="6">#REF!</definedName>
    <definedName name="DisMinEChg">#REF!</definedName>
    <definedName name="DisOffPkKwh" localSheetId="6">#REF!</definedName>
    <definedName name="DisOffPkKwh">#REF!</definedName>
    <definedName name="DisOnPkKwh" localSheetId="6">#REF!</definedName>
    <definedName name="DisOnPkKwh">#REF!</definedName>
    <definedName name="DisPL1Chg" localSheetId="6">#REF!</definedName>
    <definedName name="DisPL1Chg">#REF!</definedName>
    <definedName name="DisPL2Chg" localSheetId="6">#REF!</definedName>
    <definedName name="DisPL2Chg">#REF!</definedName>
    <definedName name="DisPL3Chg" localSheetId="6">#REF!</definedName>
    <definedName name="DisPL3Chg">#REF!</definedName>
    <definedName name="DisPL4Chg" localSheetId="6">#REF!</definedName>
    <definedName name="DisPL4Chg">#REF!</definedName>
    <definedName name="DisPL5Chg" localSheetId="6">#REF!</definedName>
    <definedName name="DisPL5Chg">#REF!</definedName>
    <definedName name="DisReactiveChg" localSheetId="6">#REF!</definedName>
    <definedName name="DisReactiveChg">#REF!</definedName>
    <definedName name="DisXOfpKvaChg" localSheetId="6">#REF!</definedName>
    <definedName name="DisXOfpKvaChg">#REF!</definedName>
    <definedName name="DisXOfpKwChg" localSheetId="6">#REF!</definedName>
    <definedName name="DisXOfpKwChg">#REF!</definedName>
    <definedName name="DSTCCHG" localSheetId="6">#REF!</definedName>
    <definedName name="DSTCCHG">#REF!</definedName>
    <definedName name="DSTDCHG1" localSheetId="6">#REF!</definedName>
    <definedName name="DSTDCHG1">#REF!</definedName>
    <definedName name="DSTDCHG2" localSheetId="6">#REF!</definedName>
    <definedName name="DSTDCHG2">#REF!</definedName>
    <definedName name="DSTECHG1" localSheetId="6">#REF!</definedName>
    <definedName name="DSTECHG1">#REF!</definedName>
    <definedName name="DSTECHGB1" localSheetId="6">#REF!</definedName>
    <definedName name="DSTECHGB1">#REF!</definedName>
    <definedName name="DSTECHGB2" localSheetId="6">#REF!</definedName>
    <definedName name="DSTECHGB2">#REF!</definedName>
    <definedName name="DSTECHGB3" localSheetId="6">#REF!</definedName>
    <definedName name="DSTECHGB3">#REF!</definedName>
    <definedName name="DSTMECHG1" localSheetId="6">#REF!</definedName>
    <definedName name="DSTMECHG1">#REF!</definedName>
    <definedName name="DSTMINDC" localSheetId="6">#REF!</definedName>
    <definedName name="DSTMINDC">#REF!</definedName>
    <definedName name="DSTMINEC" localSheetId="6">#REF!</definedName>
    <definedName name="DSTMINEC">#REF!</definedName>
    <definedName name="DSTOFKWH" localSheetId="6">#REF!</definedName>
    <definedName name="DSTOFKWH">#REF!</definedName>
    <definedName name="DSTOPKWH" localSheetId="6">#REF!</definedName>
    <definedName name="DSTOPKWH">#REF!</definedName>
    <definedName name="DSTP1EC" localSheetId="6">#REF!</definedName>
    <definedName name="DSTP1EC">#REF!</definedName>
    <definedName name="DSTP2EC" localSheetId="6">#REF!</definedName>
    <definedName name="DSTP2EC">#REF!</definedName>
    <definedName name="DSTP3EC" localSheetId="6">#REF!</definedName>
    <definedName name="DSTP3EC">#REF!</definedName>
    <definedName name="DSTP4EC" localSheetId="6">#REF!</definedName>
    <definedName name="DSTP4EC">#REF!</definedName>
    <definedName name="DSTP5EC" localSheetId="6">#REF!</definedName>
    <definedName name="DSTP5EC">#REF!</definedName>
    <definedName name="DSTRCHG" localSheetId="6">#REF!</definedName>
    <definedName name="DSTRCHG">#REF!</definedName>
    <definedName name="DSTXOFKVA" localSheetId="6">#REF!</definedName>
    <definedName name="DSTXOFKVA">#REF!</definedName>
    <definedName name="DSTXOFKW" localSheetId="6">#REF!</definedName>
    <definedName name="DSTXOFKW">#REF!</definedName>
    <definedName name="EDRBASE" localSheetId="6">#REF!</definedName>
    <definedName name="EDRBASE">#REF!</definedName>
    <definedName name="EDRDATE" localSheetId="6">#REF!</definedName>
    <definedName name="EDRDATE">#REF!</definedName>
    <definedName name="EDRDSCNT" localSheetId="6">#REF!</definedName>
    <definedName name="EDRDSCNT">#REF!</definedName>
    <definedName name="EDRLVLPCT" localSheetId="6">#REF!</definedName>
    <definedName name="EDRLVLPCT">#REF!</definedName>
    <definedName name="EDRTYPE" localSheetId="6">#REF!</definedName>
    <definedName name="EDRTYPE">#REF!</definedName>
    <definedName name="EffDate" localSheetId="6">#REF!</definedName>
    <definedName name="EffDate">#REF!</definedName>
    <definedName name="ELKMCGN1" localSheetId="6">#REF!</definedName>
    <definedName name="ELKMCGN1">#REF!</definedName>
    <definedName name="ELKMCGN2" localSheetId="6">#REF!</definedName>
    <definedName name="ELKMCGN2">#REF!</definedName>
    <definedName name="ENDDTM" localSheetId="6">#REF!</definedName>
    <definedName name="ENDDTM">#REF!</definedName>
    <definedName name="ENDTIME" localSheetId="6">#REF!</definedName>
    <definedName name="ENDTIME">#REF!</definedName>
    <definedName name="EstExcessAmt" localSheetId="6">#REF!</definedName>
    <definedName name="EstExcessAmt">#REF!</definedName>
    <definedName name="EstGrTaxAmt" localSheetId="6">#REF!</definedName>
    <definedName name="EstGrTaxAmt">#REF!</definedName>
    <definedName name="EstKWHExcess" localSheetId="6">#REF!</definedName>
    <definedName name="EstKWHExcess">#REF!</definedName>
    <definedName name="EstKWHNotUsed" localSheetId="6">#REF!</definedName>
    <definedName name="EstKWHNotUsed">#REF!</definedName>
    <definedName name="EstKWHRes" localSheetId="6">#REF!</definedName>
    <definedName name="EstKWHRes">#REF!</definedName>
    <definedName name="EstKWHSubTot" localSheetId="6">#REF!</definedName>
    <definedName name="EstKWHSubTot">#REF!</definedName>
    <definedName name="EstKWHTot" localSheetId="6">#REF!</definedName>
    <definedName name="EstKWHTot">#REF!</definedName>
    <definedName name="EstNotUsedAmt" localSheetId="6">#REF!</definedName>
    <definedName name="EstNotUsedAmt">#REF!</definedName>
    <definedName name="EstResAmt" localSheetId="6">#REF!</definedName>
    <definedName name="EstResAmt">#REF!</definedName>
    <definedName name="EstSubTotAmt" localSheetId="6">#REF!</definedName>
    <definedName name="EstSubTotAmt">#REF!</definedName>
    <definedName name="EstTotAmt" localSheetId="6">#REF!</definedName>
    <definedName name="EstTotAmt">#REF!</definedName>
    <definedName name="EXCSKVACHG" localSheetId="6">#REF!</definedName>
    <definedName name="EXCSKVACHG">#REF!</definedName>
    <definedName name="EXCSKVADMND" localSheetId="6">#REF!</definedName>
    <definedName name="EXCSKVADMND">#REF!</definedName>
    <definedName name="EXCSKVAR" localSheetId="6">#REF!</definedName>
    <definedName name="EXCSKVAR">#REF!</definedName>
    <definedName name="FIRMKWH" localSheetId="6">#REF!</definedName>
    <definedName name="FIRMKWH">#REF!</definedName>
    <definedName name="FIRSTDAY" localSheetId="6">#REF!</definedName>
    <definedName name="FIRSTDAY">#REF!</definedName>
    <definedName name="FRMCPCT" localSheetId="6">#REF!</definedName>
    <definedName name="FRMCPCT">#REF!</definedName>
    <definedName name="FUELCHG" localSheetId="6">#REF!</definedName>
    <definedName name="FUELCHG">#REF!</definedName>
    <definedName name="FUELRATE" localSheetId="6">#REF!</definedName>
    <definedName name="FUELRATE">#REF!</definedName>
    <definedName name="GenBlkKwhChg1" localSheetId="6">#REF!</definedName>
    <definedName name="GenBlkKwhChg1">#REF!</definedName>
    <definedName name="GenBlkKwhChg2" localSheetId="6">#REF!</definedName>
    <definedName name="GenBlkKwhChg2">#REF!</definedName>
    <definedName name="GenBlkKwhChg3" localSheetId="6">#REF!</definedName>
    <definedName name="GenBlkKwhChg3">#REF!</definedName>
    <definedName name="GenBlkKwhChgT" localSheetId="6">#REF!</definedName>
    <definedName name="GenBlkKwhChgT">#REF!</definedName>
    <definedName name="GENCCHG" localSheetId="6">#REF!</definedName>
    <definedName name="GENCCHG">#REF!</definedName>
    <definedName name="GenCustChg" localSheetId="6">#REF!</definedName>
    <definedName name="GenCustChg">#REF!</definedName>
    <definedName name="GENDCHG1" localSheetId="6">#REF!</definedName>
    <definedName name="GENDCHG1">#REF!</definedName>
    <definedName name="GENDCHG2" localSheetId="6">#REF!</definedName>
    <definedName name="GENDCHG2">#REF!</definedName>
    <definedName name="GenDmdChg1" localSheetId="6">#REF!</definedName>
    <definedName name="GenDmdChg1">#REF!</definedName>
    <definedName name="GenDmdChg2" localSheetId="6">#REF!</definedName>
    <definedName name="GenDmdChg2">#REF!</definedName>
    <definedName name="GENECHG1" localSheetId="6">#REF!</definedName>
    <definedName name="GENECHG1">#REF!</definedName>
    <definedName name="GENECHGB1" localSheetId="6">#REF!</definedName>
    <definedName name="GENECHGB1">#REF!</definedName>
    <definedName name="GENECHGB2" localSheetId="6">#REF!</definedName>
    <definedName name="GENECHGB2">#REF!</definedName>
    <definedName name="GENECHGB3" localSheetId="6">#REF!</definedName>
    <definedName name="GENECHGB3">#REF!</definedName>
    <definedName name="GenMEChg" localSheetId="6">#REF!</definedName>
    <definedName name="GenMEChg">#REF!</definedName>
    <definedName name="GENMECHG1" localSheetId="6">#REF!</definedName>
    <definedName name="GENMECHG1">#REF!</definedName>
    <definedName name="GENMINDC" localSheetId="6">#REF!</definedName>
    <definedName name="GENMINDC">#REF!</definedName>
    <definedName name="GenMinDChg" localSheetId="6">#REF!</definedName>
    <definedName name="GenMinDChg">#REF!</definedName>
    <definedName name="GENMINEC" localSheetId="6">#REF!</definedName>
    <definedName name="GENMINEC">#REF!</definedName>
    <definedName name="GenMinEChg" localSheetId="6">#REF!</definedName>
    <definedName name="GenMinEChg">#REF!</definedName>
    <definedName name="GenOffPkKwh" localSheetId="6">#REF!</definedName>
    <definedName name="GenOffPkKwh">#REF!</definedName>
    <definedName name="GENOFKWH" localSheetId="6">#REF!</definedName>
    <definedName name="GENOFKWH">#REF!</definedName>
    <definedName name="GenOnPkKwh" localSheetId="6">#REF!</definedName>
    <definedName name="GenOnPkKwh">#REF!</definedName>
    <definedName name="GENOPKWH" localSheetId="6">#REF!</definedName>
    <definedName name="GENOPKWH">#REF!</definedName>
    <definedName name="GENP1EC" localSheetId="6">#REF!</definedName>
    <definedName name="GENP1EC">#REF!</definedName>
    <definedName name="GENP2EC" localSheetId="6">#REF!</definedName>
    <definedName name="GENP2EC">#REF!</definedName>
    <definedName name="GENP3EC" localSheetId="6">#REF!</definedName>
    <definedName name="GENP3EC">#REF!</definedName>
    <definedName name="GENP4EC" localSheetId="6">#REF!</definedName>
    <definedName name="GENP4EC">#REF!</definedName>
    <definedName name="GENP5EC" localSheetId="6">#REF!</definedName>
    <definedName name="GENP5EC">#REF!</definedName>
    <definedName name="GenPL1Chg" localSheetId="6">#REF!</definedName>
    <definedName name="GenPL1Chg">#REF!</definedName>
    <definedName name="GenPL2Chg" localSheetId="6">#REF!</definedName>
    <definedName name="GenPL2Chg">#REF!</definedName>
    <definedName name="GenPL3Chg" localSheetId="6">#REF!</definedName>
    <definedName name="GenPL3Chg">#REF!</definedName>
    <definedName name="GenPL4Chg" localSheetId="6">#REF!</definedName>
    <definedName name="GenPL4Chg">#REF!</definedName>
    <definedName name="GenPL5Chg" localSheetId="6">#REF!</definedName>
    <definedName name="GenPL5Chg">#REF!</definedName>
    <definedName name="GENRCHG" localSheetId="6">#REF!</definedName>
    <definedName name="GENRCHG">#REF!</definedName>
    <definedName name="GenReactiveChg" localSheetId="6">#REF!</definedName>
    <definedName name="GenReactiveChg">#REF!</definedName>
    <definedName name="GENXOFKVA" localSheetId="6">#REF!</definedName>
    <definedName name="GENXOFKVA">#REF!</definedName>
    <definedName name="GENXOFKW" localSheetId="6">#REF!</definedName>
    <definedName name="GENXOFKW">#REF!</definedName>
    <definedName name="GenXOfpKvaChg" localSheetId="6">#REF!</definedName>
    <definedName name="GenXOfpKvaChg">#REF!</definedName>
    <definedName name="GenXOfpKwChg" localSheetId="6">#REF!</definedName>
    <definedName name="GenXOfpKwChg">#REF!</definedName>
    <definedName name="GIRPCCHG" localSheetId="6">#REF!</definedName>
    <definedName name="GIRPCCHG">#REF!</definedName>
    <definedName name="GIRPDCHG1" localSheetId="6">#REF!</definedName>
    <definedName name="GIRPDCHG1">#REF!</definedName>
    <definedName name="GIRPDCHG2" localSheetId="6">#REF!</definedName>
    <definedName name="GIRPDCHG2">#REF!</definedName>
    <definedName name="GIRPECHG1" localSheetId="6">#REF!</definedName>
    <definedName name="GIRPECHG1">#REF!</definedName>
    <definedName name="GIRPECHGB1" localSheetId="6">#REF!</definedName>
    <definedName name="GIRPECHGB1">#REF!</definedName>
    <definedName name="GIRPECHGB2" localSheetId="6">#REF!</definedName>
    <definedName name="GIRPECHGB2">#REF!</definedName>
    <definedName name="GIRPECHGB3" localSheetId="6">#REF!</definedName>
    <definedName name="GIRPECHGB3">#REF!</definedName>
    <definedName name="GIRPMECHG1" localSheetId="6">#REF!</definedName>
    <definedName name="GIRPMECHG1">#REF!</definedName>
    <definedName name="GIRPMINDC" localSheetId="6">#REF!</definedName>
    <definedName name="GIRPMINDC">#REF!</definedName>
    <definedName name="GIRPMINEC" localSheetId="6">#REF!</definedName>
    <definedName name="GIRPMINEC">#REF!</definedName>
    <definedName name="GIRPOFKVA" localSheetId="6">#REF!</definedName>
    <definedName name="GIRPOFKVA">#REF!</definedName>
    <definedName name="GIRPOFKW" localSheetId="6">#REF!</definedName>
    <definedName name="GIRPOFKW">#REF!</definedName>
    <definedName name="GIRPOFKWH" localSheetId="6">#REF!</definedName>
    <definedName name="GIRPOFKWH">#REF!</definedName>
    <definedName name="GIRPOPKWH" localSheetId="6">#REF!</definedName>
    <definedName name="GIRPOPKWH">#REF!</definedName>
    <definedName name="GIRPP1EC" localSheetId="6">#REF!</definedName>
    <definedName name="GIRPP1EC">#REF!</definedName>
    <definedName name="GIRPP2EC" localSheetId="6">#REF!</definedName>
    <definedName name="GIRPP2EC">#REF!</definedName>
    <definedName name="GIRPP3EC" localSheetId="6">#REF!</definedName>
    <definedName name="GIRPP3EC">#REF!</definedName>
    <definedName name="GIRPP4EC" localSheetId="6">#REF!</definedName>
    <definedName name="GIRPP4EC">#REF!</definedName>
    <definedName name="GIRPP5EC" localSheetId="6">#REF!</definedName>
    <definedName name="GIRPP5EC">#REF!</definedName>
    <definedName name="GIRPRCHG" localSheetId="6">#REF!</definedName>
    <definedName name="GIRPRCHG">#REF!</definedName>
    <definedName name="HEADA" localSheetId="6">#REF!</definedName>
    <definedName name="HEADA">#REF!</definedName>
    <definedName name="HEADB" localSheetId="6">#REF!</definedName>
    <definedName name="HEADB">#REF!</definedName>
    <definedName name="HEADC" localSheetId="6">#REF!</definedName>
    <definedName name="HEADC">#REF!</definedName>
    <definedName name="HEADD" localSheetId="6">#REF!</definedName>
    <definedName name="HEADD">#REF!</definedName>
    <definedName name="HIPREKW" localSheetId="6">#REF!</definedName>
    <definedName name="HIPREKW">#REF!</definedName>
    <definedName name="HRCRDKW" localSheetId="6">#REF!</definedName>
    <definedName name="HRCRDKW">#REF!</definedName>
    <definedName name="HRCRDKWDT" localSheetId="6">#REF!</definedName>
    <definedName name="HRCRDKWDT">#REF!</definedName>
    <definedName name="HRCRDKWTM" localSheetId="6">#REF!</definedName>
    <definedName name="HRCRDKWTM">#REF!</definedName>
    <definedName name="HROFPKDT" localSheetId="6">#REF!</definedName>
    <definedName name="HROFPKDT">#REF!</definedName>
    <definedName name="HROFPKKW" localSheetId="6">#REF!</definedName>
    <definedName name="HROFPKKW">#REF!</definedName>
    <definedName name="HROFPKTM" localSheetId="6">#REF!</definedName>
    <definedName name="HROFPKTM">#REF!</definedName>
    <definedName name="HRONPKDT" localSheetId="6">#REF!</definedName>
    <definedName name="HRONPKDT">#REF!</definedName>
    <definedName name="HRONPKKW" localSheetId="6">#REF!</definedName>
    <definedName name="HRONPKKW">#REF!</definedName>
    <definedName name="HRONPKTM" localSheetId="6">#REF!</definedName>
    <definedName name="HRONPKTM">#REF!</definedName>
    <definedName name="IMCO" localSheetId="6">#REF!</definedName>
    <definedName name="IMCO">#REF!</definedName>
    <definedName name="InterruptCapacity" localSheetId="6">#REF!</definedName>
    <definedName name="InterruptCapacity">#REF!</definedName>
    <definedName name="InterruptOfpCapacity" localSheetId="6">#REF!</definedName>
    <definedName name="InterruptOfpCapacity">#REF!</definedName>
    <definedName name="InterruptType" localSheetId="6">#REF!</definedName>
    <definedName name="InterruptType">#REF!</definedName>
    <definedName name="INTRPBLCAP" localSheetId="6">#REF!</definedName>
    <definedName name="INTRPBLCAP">#REF!</definedName>
    <definedName name="Invdetails" localSheetId="6">#REF!</definedName>
    <definedName name="Invdetails">#REF!</definedName>
    <definedName name="KWCHG" localSheetId="6">#REF!</definedName>
    <definedName name="KWCHG">#REF!</definedName>
    <definedName name="KWH1NOCMM" localSheetId="6">#REF!</definedName>
    <definedName name="KWH1NOCMM">#REF!</definedName>
    <definedName name="KWH3NOCMM" localSheetId="6">#REF!</definedName>
    <definedName name="KWH3NOCMM">#REF!</definedName>
    <definedName name="KWHCHG" localSheetId="6">#REF!</definedName>
    <definedName name="KWHCHG">#REF!</definedName>
    <definedName name="LASTDAY" localSheetId="6">#REF!</definedName>
    <definedName name="LASTDAY">#REF!</definedName>
    <definedName name="LASTFUEL" localSheetId="6">#REF!</definedName>
    <definedName name="LASTFUEL">#REF!</definedName>
    <definedName name="LASTMSRR" localSheetId="6">#REF!</definedName>
    <definedName name="LASTMSRR">#REF!</definedName>
    <definedName name="LASTPFCC" localSheetId="6">#REF!</definedName>
    <definedName name="LASTPFCC">#REF!</definedName>
    <definedName name="LDFCTR" localSheetId="6">#REF!</definedName>
    <definedName name="LDFCTR">#REF!</definedName>
    <definedName name="LRCREDIT" localSheetId="6">#REF!</definedName>
    <definedName name="LRCREDIT">#REF!</definedName>
    <definedName name="MACC1" localSheetId="6">#REF!</definedName>
    <definedName name="MACC1">#REF!</definedName>
    <definedName name="MACC2" localSheetId="6">#REF!</definedName>
    <definedName name="MACC2">#REF!</definedName>
    <definedName name="MAINTHRSCRMO" localSheetId="6">#REF!</definedName>
    <definedName name="MAINTHRSCRMO">#REF!</definedName>
    <definedName name="MAINTKWH" localSheetId="6">#REF!</definedName>
    <definedName name="MAINTKWH">#REF!</definedName>
    <definedName name="MinBillDem" localSheetId="6">#REF!</definedName>
    <definedName name="MinBillDem">#REF!</definedName>
    <definedName name="MinBillDem2" localSheetId="6">#REF!</definedName>
    <definedName name="MinBillDem2">#REF!</definedName>
    <definedName name="MinBillDmd" localSheetId="6">#REF!</definedName>
    <definedName name="MinBillDmd">#REF!</definedName>
    <definedName name="MSRRBLD" localSheetId="6">#REF!</definedName>
    <definedName name="MSRRBLD">#REF!</definedName>
    <definedName name="MSRRCHG" localSheetId="6">#REF!</definedName>
    <definedName name="MSRRCHG">#REF!</definedName>
    <definedName name="MTRMLTPLR1" localSheetId="6">#REF!</definedName>
    <definedName name="MTRMLTPLR1">#REF!</definedName>
    <definedName name="MTRMLTPLR2" localSheetId="6">#REF!</definedName>
    <definedName name="MTRMLTPLR2">#REF!</definedName>
    <definedName name="NETMRGCHG" localSheetId="6">#REF!</definedName>
    <definedName name="NETMRGCHG">#REF!</definedName>
    <definedName name="NODAYSINPRD" localSheetId="6">#REF!</definedName>
    <definedName name="NODAYSINPRD">#REF!</definedName>
    <definedName name="NODELPOINTS" localSheetId="6">#REF!</definedName>
    <definedName name="NODELPOINTS">#REF!</definedName>
    <definedName name="np">#REF!</definedName>
    <definedName name="NP_h">#REF!</definedName>
    <definedName name="NP_h1" localSheetId="23">#REF!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 localSheetId="6">#REF!</definedName>
    <definedName name="OFPKCNTRCTCPCT">#REF!</definedName>
    <definedName name="OFPKDMPKWH" localSheetId="6">#REF!</definedName>
    <definedName name="OFPKDMPKWH">#REF!</definedName>
    <definedName name="OFPKDSCRKWH" localSheetId="6">#REF!</definedName>
    <definedName name="OFPKDSCRKWH">#REF!</definedName>
    <definedName name="OFPKDT" localSheetId="6">#REF!</definedName>
    <definedName name="OFPKDT">#REF!</definedName>
    <definedName name="OFPKEXCSKW" localSheetId="6">#REF!</definedName>
    <definedName name="OFPKEXCSKW">#REF!</definedName>
    <definedName name="OFPKINCRKWH" localSheetId="6">#REF!</definedName>
    <definedName name="OFPKINCRKWH">#REF!</definedName>
    <definedName name="OFPKKVADT" localSheetId="6">#REF!</definedName>
    <definedName name="OFPKKVADT">#REF!</definedName>
    <definedName name="OFPKKVATM" localSheetId="6">#REF!</definedName>
    <definedName name="OFPKKVATM">#REF!</definedName>
    <definedName name="OFPKKVW" localSheetId="6">#REF!</definedName>
    <definedName name="OFPKKVW">#REF!</definedName>
    <definedName name="OFPKKW" localSheetId="6">#REF!</definedName>
    <definedName name="OFPKKW">#REF!</definedName>
    <definedName name="OFPKKWH1NOCMM" localSheetId="6">#REF!</definedName>
    <definedName name="OFPKKWH1NOCMM">#REF!</definedName>
    <definedName name="OFPKKWH3NOCMM" localSheetId="6">#REF!</definedName>
    <definedName name="OFPKKWH3NOCMM">#REF!</definedName>
    <definedName name="OFPKRCRDKWH" localSheetId="6">#REF!</definedName>
    <definedName name="OFPKRCRDKWH">#REF!</definedName>
    <definedName name="OFPKTM" localSheetId="6">#REF!</definedName>
    <definedName name="OFPKTM">#REF!</definedName>
    <definedName name="OFPXCSKW" localSheetId="6">#REF!</definedName>
    <definedName name="OFPXCSKW">#REF!</definedName>
    <definedName name="OFPXCSKWDT" localSheetId="6">#REF!</definedName>
    <definedName name="OFPXCSKWDT">#REF!</definedName>
    <definedName name="OFPXCSKWH" localSheetId="6">#REF!</definedName>
    <definedName name="OFPXCSKWH">#REF!</definedName>
    <definedName name="OFPXCSKWTM" localSheetId="6">#REF!</definedName>
    <definedName name="OFPXCSKWTM">#REF!</definedName>
    <definedName name="ONPKBILLKWH" localSheetId="6">#REF!</definedName>
    <definedName name="ONPKBILLKWH">#REF!</definedName>
    <definedName name="ONPKCAPB" localSheetId="6">#REF!</definedName>
    <definedName name="ONPKCAPB">#REF!</definedName>
    <definedName name="ONPKCGNKWH" localSheetId="6">#REF!</definedName>
    <definedName name="ONPKCGNKWH">#REF!</definedName>
    <definedName name="ONPKCNTRCTCPCT" localSheetId="6">#REF!</definedName>
    <definedName name="ONPKCNTRCTCPCT">#REF!</definedName>
    <definedName name="ONPKDMPKWH" localSheetId="6">#REF!</definedName>
    <definedName name="ONPKDMPKWH">#REF!</definedName>
    <definedName name="ONPKDSCRKWH" localSheetId="6">#REF!</definedName>
    <definedName name="ONPKDSCRKWH">#REF!</definedName>
    <definedName name="ONPKDT" localSheetId="6">#REF!</definedName>
    <definedName name="ONPKDT">#REF!</definedName>
    <definedName name="ONPKINCRKWH" localSheetId="6">#REF!</definedName>
    <definedName name="ONPKINCRKWH">#REF!</definedName>
    <definedName name="ONPKKVA" localSheetId="6">#REF!</definedName>
    <definedName name="ONPKKVA">#REF!</definedName>
    <definedName name="ONPKKVADT" localSheetId="6">#REF!</definedName>
    <definedName name="ONPKKVADT">#REF!</definedName>
    <definedName name="ONPKKVATM" localSheetId="6">#REF!</definedName>
    <definedName name="ONPKKVATM">#REF!</definedName>
    <definedName name="ONPKKW" localSheetId="6">#REF!</definedName>
    <definedName name="ONPKKW">#REF!</definedName>
    <definedName name="ONPKKWH1NOCMM" localSheetId="6">#REF!</definedName>
    <definedName name="ONPKKWH1NOCMM">#REF!</definedName>
    <definedName name="ONPKKWH3NOCMM" localSheetId="6">#REF!</definedName>
    <definedName name="ONPKKWH3NOCMM">#REF!</definedName>
    <definedName name="ONPKRCRDKWH" localSheetId="6">#REF!</definedName>
    <definedName name="ONPKRCRDKWH">#REF!</definedName>
    <definedName name="ONPKTM" localSheetId="6">#REF!</definedName>
    <definedName name="ONPKTM">#REF!</definedName>
    <definedName name="OPCBLKW" localSheetId="6">#REF!</definedName>
    <definedName name="OPCBLKW">#REF!</definedName>
    <definedName name="OPCO" localSheetId="6">#REF!</definedName>
    <definedName name="OPCO">#REF!</definedName>
    <definedName name="OPXCSKW" localSheetId="6">#REF!</definedName>
    <definedName name="OPXCSKW">#REF!</definedName>
    <definedName name="OPXCSKWDT" localSheetId="6">#REF!</definedName>
    <definedName name="OPXCSKWDT">#REF!</definedName>
    <definedName name="OPXCSKWH" localSheetId="6">#REF!</definedName>
    <definedName name="OPXCSKWH">#REF!</definedName>
    <definedName name="OPXCSKWTM" localSheetId="6">#REF!</definedName>
    <definedName name="OPXCSKWTM">#REF!</definedName>
    <definedName name="OTHRTRNSKWH" localSheetId="6">#REF!</definedName>
    <definedName name="OTHRTRNSKWH">#REF!</definedName>
    <definedName name="P1PENPERC" localSheetId="6">#REF!</definedName>
    <definedName name="P1PENPERC">#REF!</definedName>
    <definedName name="P2PENPERC" localSheetId="6">#REF!</definedName>
    <definedName name="P2PENPERC">#REF!</definedName>
    <definedName name="PAGEA" localSheetId="6">#REF!</definedName>
    <definedName name="PAGEA">#REF!</definedName>
    <definedName name="PAGEB" localSheetId="6">#REF!</definedName>
    <definedName name="PAGEB">#REF!</definedName>
    <definedName name="PAGEC" localSheetId="6">#REF!</definedName>
    <definedName name="PAGEC">#REF!</definedName>
    <definedName name="PAGED" localSheetId="6">#REF!</definedName>
    <definedName name="PAGED">#REF!</definedName>
    <definedName name="PeakDemandChg" localSheetId="6">#REF!</definedName>
    <definedName name="PeakDemandChg">#REF!</definedName>
    <definedName name="PenaltyDays" localSheetId="6">#REF!</definedName>
    <definedName name="PenaltyDays">#REF!</definedName>
    <definedName name="PenaltyPct" localSheetId="6">#REF!</definedName>
    <definedName name="PenaltyPct">#REF!</definedName>
    <definedName name="PENDAYS" localSheetId="6">#REF!</definedName>
    <definedName name="PENDAYS">#REF!</definedName>
    <definedName name="PENDAYS2" localSheetId="6">#REF!</definedName>
    <definedName name="PENDAYS2">#REF!</definedName>
    <definedName name="PFCC" localSheetId="6">#REF!</definedName>
    <definedName name="PFCC">#REF!</definedName>
    <definedName name="PKKVAR" localSheetId="6">#REF!</definedName>
    <definedName name="PKKVAR">#REF!</definedName>
    <definedName name="PKKVARDATE" localSheetId="6">#REF!</definedName>
    <definedName name="PKKVARDATE">#REF!</definedName>
    <definedName name="PKKVARTIME" localSheetId="6">#REF!</definedName>
    <definedName name="PKKVARTIME">#REF!</definedName>
    <definedName name="PLVLKWH1" localSheetId="6">#REF!</definedName>
    <definedName name="PLVLKWH1">#REF!</definedName>
    <definedName name="PLVLKWH1A" localSheetId="6">#REF!</definedName>
    <definedName name="PLVLKWH1A">#REF!</definedName>
    <definedName name="PLVLKWH2" localSheetId="6">#REF!</definedName>
    <definedName name="PLVLKWH2">#REF!</definedName>
    <definedName name="PLVLKWH23A" localSheetId="6">#REF!</definedName>
    <definedName name="PLVLKWH23A">#REF!</definedName>
    <definedName name="PLVLKWH25" localSheetId="6">#REF!</definedName>
    <definedName name="PLVLKWH25">#REF!</definedName>
    <definedName name="PLVLKWH2A" localSheetId="6">#REF!</definedName>
    <definedName name="PLVLKWH2A">#REF!</definedName>
    <definedName name="PLVLKWH3" localSheetId="6">#REF!</definedName>
    <definedName name="PLVLKWH3">#REF!</definedName>
    <definedName name="PLVLKWH3A" localSheetId="6">#REF!</definedName>
    <definedName name="PLVLKWH3A">#REF!</definedName>
    <definedName name="PLVLKWH4" localSheetId="6">#REF!</definedName>
    <definedName name="PLVLKWH4">#REF!</definedName>
    <definedName name="PLVLKWH4A" localSheetId="6">#REF!</definedName>
    <definedName name="PLVLKWH4A">#REF!</definedName>
    <definedName name="PRICEDESIG" localSheetId="6">#REF!</definedName>
    <definedName name="PRICEDESIG">#REF!</definedName>
    <definedName name="PriMoAddr1" localSheetId="6">#REF!</definedName>
    <definedName name="PriMoAddr1">#REF!</definedName>
    <definedName name="PriMoAddr2" localSheetId="6">#REF!</definedName>
    <definedName name="PriMoAddr2">#REF!</definedName>
    <definedName name="PriMoBTDetail" localSheetId="6">#REF!</definedName>
    <definedName name="PriMoBTDetail">#REF!</definedName>
    <definedName name="PriMoBuyThrgh_Sheet" localSheetId="6">#REF!</definedName>
    <definedName name="PriMoBuyThrgh_Sheet">#REF!</definedName>
    <definedName name="PriMoCityStZip" localSheetId="6">#REF!</definedName>
    <definedName name="PriMoCityStZip">#REF!</definedName>
    <definedName name="PriMoCustName" localSheetId="6">#REF!</definedName>
    <definedName name="PriMoCustName">#REF!</definedName>
    <definedName name="PriMoMtrMult" localSheetId="6">#REF!</definedName>
    <definedName name="PriMoMtrMult">#REF!</definedName>
    <definedName name="_xlnm.Print_Area" localSheetId="23">#REF!</definedName>
    <definedName name="_xlnm.Print_Area" localSheetId="0">TCOS!$A$1:$L$393</definedName>
    <definedName name="_xlnm.Print_Area" localSheetId="27">'WPC-WS P Dep. Rates'!#REF!</definedName>
    <definedName name="_xlnm.Print_Area" localSheetId="4">'WS B-2 - Actual Stmt. AG'!$A$1:$S$75</definedName>
    <definedName name="_xlnm.Print_Area" localSheetId="5">'WS B-3'!$A$1:$R$74</definedName>
    <definedName name="_xlnm.Print_Area" localSheetId="6">'WS B-3-A'!$A$1:$N$59</definedName>
    <definedName name="_xlnm.Print_Area" localSheetId="16">'WS J PROJECTED RTEP RR'!$A$1:$O$170</definedName>
    <definedName name="_xlnm.Print_Area" localSheetId="18">'WS L Reserved'!$A$1:$F$42</definedName>
    <definedName name="_xlnm.Print_Area" localSheetId="19">'WS M - Cost of Capital'!$A$1:$L$106</definedName>
    <definedName name="_xlnm.Print_Area" localSheetId="21">'WS O - PBOP'!$A$1:$K$59</definedName>
    <definedName name="_xlnm.Print_Area" localSheetId="28">'WSQ NSPR'!$A$1:$K$57</definedName>
    <definedName name="_xlnm.Print_Area">#REF!</definedName>
    <definedName name="_xlnm.Print_Titles" localSheetId="27">'WPC-WS P Dep. Rates'!#REF!</definedName>
    <definedName name="PRVCNT" localSheetId="23">#REF!</definedName>
    <definedName name="PRVCNT" localSheetId="6">#REF!</definedName>
    <definedName name="PRVCNT">#REF!</definedName>
    <definedName name="PRVDATE" localSheetId="23">#REF!</definedName>
    <definedName name="PRVDATE" localSheetId="6">#REF!</definedName>
    <definedName name="PRVDATE">#REF!</definedName>
    <definedName name="PRVFUEL" localSheetId="23">#REF!</definedName>
    <definedName name="PRVFUEL" localSheetId="6">#REF!</definedName>
    <definedName name="PRVFUEL">#REF!</definedName>
    <definedName name="PRVKW" localSheetId="6">#REF!</definedName>
    <definedName name="PRVKW">#REF!</definedName>
    <definedName name="PRVKWH" localSheetId="6">#REF!</definedName>
    <definedName name="PRVKWH">#REF!</definedName>
    <definedName name="PRVMSRR" localSheetId="6">#REF!</definedName>
    <definedName name="PRVMSRR">#REF!</definedName>
    <definedName name="PRVPFCC" localSheetId="6">#REF!</definedName>
    <definedName name="PRVPFCC">#REF!</definedName>
    <definedName name="PSO_Proj_Allocators" localSheetId="6">#REF!</definedName>
    <definedName name="PSO_Proj_Allocators">#REF!</definedName>
    <definedName name="PSOallocatorsP" localSheetId="6">#REF!</definedName>
    <definedName name="PSOallocatorsP">#REF!</definedName>
    <definedName name="PVHIOFPCBL" localSheetId="6">#REF!</definedName>
    <definedName name="PVHIOFPCBL">#REF!</definedName>
    <definedName name="PVHIOPCBL" localSheetId="6">#REF!</definedName>
    <definedName name="PVHIOPCBL">#REF!</definedName>
    <definedName name="RatchetFactor" localSheetId="6">#REF!</definedName>
    <definedName name="RatchetFactor">#REF!</definedName>
    <definedName name="RCRDRID" localSheetId="6">#REF!</definedName>
    <definedName name="RCRDRID">#REF!</definedName>
    <definedName name="RCTVHRS" localSheetId="6">#REF!</definedName>
    <definedName name="RCTVHRS">#REF!</definedName>
    <definedName name="RDRBLK1C" localSheetId="6">#REF!</definedName>
    <definedName name="RDRBLK1C">#REF!</definedName>
    <definedName name="RDRBLK1Q" localSheetId="6">#REF!</definedName>
    <definedName name="RDRBLK1Q">#REF!</definedName>
    <definedName name="RDRBLK2C" localSheetId="6">#REF!</definedName>
    <definedName name="RDRBLK2C">#REF!</definedName>
    <definedName name="RDRBLK2Q" localSheetId="6">#REF!</definedName>
    <definedName name="RDRBLK2Q">#REF!</definedName>
    <definedName name="RDRBLK3C" localSheetId="6">#REF!</definedName>
    <definedName name="RDRBLK3C">#REF!</definedName>
    <definedName name="RDRBLK3Q" localSheetId="6">#REF!</definedName>
    <definedName name="RDRBLK3Q">#REF!</definedName>
    <definedName name="RDRBLKTC" localSheetId="6">#REF!</definedName>
    <definedName name="RDRBLKTC">#REF!</definedName>
    <definedName name="RDRBLKTC1" localSheetId="6">#REF!</definedName>
    <definedName name="RDRBLKTC1">#REF!</definedName>
    <definedName name="RDRBLKTC10" localSheetId="6">#REF!</definedName>
    <definedName name="RDRBLKTC10">#REF!</definedName>
    <definedName name="RDRBLKTC11" localSheetId="6">#REF!</definedName>
    <definedName name="RDRBLKTC11">#REF!</definedName>
    <definedName name="RDRBLKTC12" localSheetId="6">#REF!</definedName>
    <definedName name="RDRBLKTC12">#REF!</definedName>
    <definedName name="RDRBLKTC13" localSheetId="6">#REF!</definedName>
    <definedName name="RDRBLKTC13">#REF!</definedName>
    <definedName name="RDRBLKTC14" localSheetId="6">#REF!</definedName>
    <definedName name="RDRBLKTC14">#REF!</definedName>
    <definedName name="RDRBLKTC15" localSheetId="6">#REF!</definedName>
    <definedName name="RDRBLKTC15">#REF!</definedName>
    <definedName name="RDRBLKTC16" localSheetId="6">#REF!</definedName>
    <definedName name="RDRBLKTC16">#REF!</definedName>
    <definedName name="RDRBLKTC17" localSheetId="6">#REF!</definedName>
    <definedName name="RDRBLKTC17">#REF!</definedName>
    <definedName name="RDRBLKTC18" localSheetId="6">#REF!</definedName>
    <definedName name="RDRBLKTC18">#REF!</definedName>
    <definedName name="RDRBLKTC19" localSheetId="6">#REF!</definedName>
    <definedName name="RDRBLKTC19">#REF!</definedName>
    <definedName name="RDRBLKTC2" localSheetId="6">#REF!</definedName>
    <definedName name="RDRBLKTC2">#REF!</definedName>
    <definedName name="RDRBLKTC20" localSheetId="6">#REF!</definedName>
    <definedName name="RDRBLKTC20">#REF!</definedName>
    <definedName name="RDRBLKTC3" localSheetId="6">#REF!</definedName>
    <definedName name="RDRBLKTC3">#REF!</definedName>
    <definedName name="RDRBLKTC4" localSheetId="6">#REF!</definedName>
    <definedName name="RDRBLKTC4">#REF!</definedName>
    <definedName name="RDRBLKTC5" localSheetId="6">#REF!</definedName>
    <definedName name="RDRBLKTC5">#REF!</definedName>
    <definedName name="RDRBLKTC6" localSheetId="6">#REF!</definedName>
    <definedName name="RDRBLKTC6">#REF!</definedName>
    <definedName name="RDRBLKTC7" localSheetId="6">#REF!</definedName>
    <definedName name="RDRBLKTC7">#REF!</definedName>
    <definedName name="RDRBLKTC8" localSheetId="6">#REF!</definedName>
    <definedName name="RDRBLKTC8">#REF!</definedName>
    <definedName name="RDRBLKTC9" localSheetId="6">#REF!</definedName>
    <definedName name="RDRBLKTC9">#REF!</definedName>
    <definedName name="RDRBLKTQ" localSheetId="6">#REF!</definedName>
    <definedName name="RDRBLKTQ">#REF!</definedName>
    <definedName name="RDRCODE" localSheetId="6">#REF!</definedName>
    <definedName name="RDRCODE">#REF!</definedName>
    <definedName name="RDRCYCLE" localSheetId="6">#REF!</definedName>
    <definedName name="RDRCYCLE">#REF!</definedName>
    <definedName name="RDRDATE" localSheetId="6">#REF!</definedName>
    <definedName name="RDRDATE">#REF!</definedName>
    <definedName name="RDRNAME" localSheetId="6">#REF!</definedName>
    <definedName name="RDRNAME">#REF!</definedName>
    <definedName name="RDRRATEB" localSheetId="6">#REF!</definedName>
    <definedName name="RDRRATEB">#REF!</definedName>
    <definedName name="RDRRATEB1" localSheetId="6">#REF!</definedName>
    <definedName name="RDRRATEB1">#REF!</definedName>
    <definedName name="RDRRATEB10" localSheetId="6">#REF!</definedName>
    <definedName name="RDRRATEB10">#REF!</definedName>
    <definedName name="RDRRATEB11" localSheetId="6">#REF!</definedName>
    <definedName name="RDRRATEB11">#REF!</definedName>
    <definedName name="RDRRATEB12" localSheetId="6">#REF!</definedName>
    <definedName name="RDRRATEB12">#REF!</definedName>
    <definedName name="RDRRATEB13" localSheetId="6">#REF!</definedName>
    <definedName name="RDRRATEB13">#REF!</definedName>
    <definedName name="RDRRATEB14" localSheetId="6">#REF!</definedName>
    <definedName name="RDRRATEB14">#REF!</definedName>
    <definedName name="RDRRATEB15" localSheetId="6">#REF!</definedName>
    <definedName name="RDRRATEB15">#REF!</definedName>
    <definedName name="RDRRATEB16" localSheetId="6">#REF!</definedName>
    <definedName name="RDRRATEB16">#REF!</definedName>
    <definedName name="RDRRATEB17" localSheetId="6">#REF!</definedName>
    <definedName name="RDRRATEB17">#REF!</definedName>
    <definedName name="RDRRATEB18" localSheetId="6">#REF!</definedName>
    <definedName name="RDRRATEB18">#REF!</definedName>
    <definedName name="RDRRATEB19" localSheetId="6">#REF!</definedName>
    <definedName name="RDRRATEB19">#REF!</definedName>
    <definedName name="RDRRATEB2" localSheetId="6">#REF!</definedName>
    <definedName name="RDRRATEB2">#REF!</definedName>
    <definedName name="RDRRATEB20" localSheetId="6">#REF!</definedName>
    <definedName name="RDRRATEB20">#REF!</definedName>
    <definedName name="RDRRATEB3" localSheetId="6">#REF!</definedName>
    <definedName name="RDRRATEB3">#REF!</definedName>
    <definedName name="RDRRATEB4" localSheetId="6">#REF!</definedName>
    <definedName name="RDRRATEB4">#REF!</definedName>
    <definedName name="RDRRATEB5" localSheetId="6">#REF!</definedName>
    <definedName name="RDRRATEB5">#REF!</definedName>
    <definedName name="RDRRATEB6" localSheetId="6">#REF!</definedName>
    <definedName name="RDRRATEB6">#REF!</definedName>
    <definedName name="RDRRATEB7" localSheetId="6">#REF!</definedName>
    <definedName name="RDRRATEB7">#REF!</definedName>
    <definedName name="RDRRATEB8" localSheetId="6">#REF!</definedName>
    <definedName name="RDRRATEB8">#REF!</definedName>
    <definedName name="RDRRATEB9" localSheetId="6">#REF!</definedName>
    <definedName name="RDRRATEB9">#REF!</definedName>
    <definedName name="RDRRATED" localSheetId="6">#REF!</definedName>
    <definedName name="RDRRATED">#REF!</definedName>
    <definedName name="RDRRATED1" localSheetId="6">#REF!</definedName>
    <definedName name="RDRRATED1">#REF!</definedName>
    <definedName name="RDRRATED10" localSheetId="6">#REF!</definedName>
    <definedName name="RDRRATED10">#REF!</definedName>
    <definedName name="RDRRATED11" localSheetId="6">#REF!</definedName>
    <definedName name="RDRRATED11">#REF!</definedName>
    <definedName name="RDRRATED12" localSheetId="6">#REF!</definedName>
    <definedName name="RDRRATED12">#REF!</definedName>
    <definedName name="RDRRATED13" localSheetId="6">#REF!</definedName>
    <definedName name="RDRRATED13">#REF!</definedName>
    <definedName name="RDRRATED14" localSheetId="6">#REF!</definedName>
    <definedName name="RDRRATED14">#REF!</definedName>
    <definedName name="RDRRATED15" localSheetId="6">#REF!</definedName>
    <definedName name="RDRRATED15">#REF!</definedName>
    <definedName name="RDRRATED16" localSheetId="6">#REF!</definedName>
    <definedName name="RDRRATED16">#REF!</definedName>
    <definedName name="RDRRATED17" localSheetId="6">#REF!</definedName>
    <definedName name="RDRRATED17">#REF!</definedName>
    <definedName name="RDRRATED18" localSheetId="6">#REF!</definedName>
    <definedName name="RDRRATED18">#REF!</definedName>
    <definedName name="RDRRATED19" localSheetId="6">#REF!</definedName>
    <definedName name="RDRRATED19">#REF!</definedName>
    <definedName name="RDRRATED2" localSheetId="6">#REF!</definedName>
    <definedName name="RDRRATED2">#REF!</definedName>
    <definedName name="RDRRATED20" localSheetId="6">#REF!</definedName>
    <definedName name="RDRRATED20">#REF!</definedName>
    <definedName name="RDRRATED3" localSheetId="6">#REF!</definedName>
    <definedName name="RDRRATED3">#REF!</definedName>
    <definedName name="RDRRATED4" localSheetId="6">#REF!</definedName>
    <definedName name="RDRRATED4">#REF!</definedName>
    <definedName name="RDRRATED5" localSheetId="6">#REF!</definedName>
    <definedName name="RDRRATED5">#REF!</definedName>
    <definedName name="RDRRATED6" localSheetId="6">#REF!</definedName>
    <definedName name="RDRRATED6">#REF!</definedName>
    <definedName name="RDRRATED7" localSheetId="6">#REF!</definedName>
    <definedName name="RDRRATED7">#REF!</definedName>
    <definedName name="RDRRATED8" localSheetId="6">#REF!</definedName>
    <definedName name="RDRRATED8">#REF!</definedName>
    <definedName name="RDRRATED9" localSheetId="6">#REF!</definedName>
    <definedName name="RDRRATED9">#REF!</definedName>
    <definedName name="RDRRATEG" localSheetId="6">#REF!</definedName>
    <definedName name="RDRRATEG">#REF!</definedName>
    <definedName name="RDRRATEG1" localSheetId="6">#REF!</definedName>
    <definedName name="RDRRATEG1">#REF!</definedName>
    <definedName name="RDRRATEG10" localSheetId="6">#REF!</definedName>
    <definedName name="RDRRATEG10">#REF!</definedName>
    <definedName name="RDRRATEG11" localSheetId="6">#REF!</definedName>
    <definedName name="RDRRATEG11">#REF!</definedName>
    <definedName name="RDRRATEG12" localSheetId="6">#REF!</definedName>
    <definedName name="RDRRATEG12">#REF!</definedName>
    <definedName name="RDRRATEG13" localSheetId="6">#REF!</definedName>
    <definedName name="RDRRATEG13">#REF!</definedName>
    <definedName name="RDRRATEG14" localSheetId="6">#REF!</definedName>
    <definedName name="RDRRATEG14">#REF!</definedName>
    <definedName name="RDRRATEG15" localSheetId="6">#REF!</definedName>
    <definedName name="RDRRATEG15">#REF!</definedName>
    <definedName name="RDRRATEG16" localSheetId="6">#REF!</definedName>
    <definedName name="RDRRATEG16">#REF!</definedName>
    <definedName name="RDRRATEG17" localSheetId="6">#REF!</definedName>
    <definedName name="RDRRATEG17">#REF!</definedName>
    <definedName name="RDRRATEG18" localSheetId="6">#REF!</definedName>
    <definedName name="RDRRATEG18">#REF!</definedName>
    <definedName name="RDRRATEG19" localSheetId="6">#REF!</definedName>
    <definedName name="RDRRATEG19">#REF!</definedName>
    <definedName name="RDRRATEG2" localSheetId="6">#REF!</definedName>
    <definedName name="RDRRATEG2">#REF!</definedName>
    <definedName name="RDRRATEG20" localSheetId="6">#REF!</definedName>
    <definedName name="RDRRATEG20">#REF!</definedName>
    <definedName name="RDRRATEG3" localSheetId="6">#REF!</definedName>
    <definedName name="RDRRATEG3">#REF!</definedName>
    <definedName name="RDRRATEG4" localSheetId="6">#REF!</definedName>
    <definedName name="RDRRATEG4">#REF!</definedName>
    <definedName name="RDRRATEG5" localSheetId="6">#REF!</definedName>
    <definedName name="RDRRATEG5">#REF!</definedName>
    <definedName name="RDRRATEG6" localSheetId="6">#REF!</definedName>
    <definedName name="RDRRATEG6">#REF!</definedName>
    <definedName name="RDRRATEG7" localSheetId="6">#REF!</definedName>
    <definedName name="RDRRATEG7">#REF!</definedName>
    <definedName name="RDRRATEG8" localSheetId="6">#REF!</definedName>
    <definedName name="RDRRATEG8">#REF!</definedName>
    <definedName name="RDRRATEG9" localSheetId="6">#REF!</definedName>
    <definedName name="RDRRATEG9">#REF!</definedName>
    <definedName name="RDRRATET" localSheetId="6">#REF!</definedName>
    <definedName name="RDRRATET">#REF!</definedName>
    <definedName name="RDRRATET1" localSheetId="6">#REF!</definedName>
    <definedName name="RDRRATET1">#REF!</definedName>
    <definedName name="RDRRATET10" localSheetId="6">#REF!</definedName>
    <definedName name="RDRRATET10">#REF!</definedName>
    <definedName name="RDRRATET11" localSheetId="6">#REF!</definedName>
    <definedName name="RDRRATET11">#REF!</definedName>
    <definedName name="RDRRATET12" localSheetId="6">#REF!</definedName>
    <definedName name="RDRRATET12">#REF!</definedName>
    <definedName name="RDRRATET13" localSheetId="6">#REF!</definedName>
    <definedName name="RDRRATET13">#REF!</definedName>
    <definedName name="RDRRATET14" localSheetId="6">#REF!</definedName>
    <definedName name="RDRRATET14">#REF!</definedName>
    <definedName name="RDRRATET15" localSheetId="6">#REF!</definedName>
    <definedName name="RDRRATET15">#REF!</definedName>
    <definedName name="RDRRATET16" localSheetId="6">#REF!</definedName>
    <definedName name="RDRRATET16">#REF!</definedName>
    <definedName name="RDRRATET17" localSheetId="6">#REF!</definedName>
    <definedName name="RDRRATET17">#REF!</definedName>
    <definedName name="RDRRATET18" localSheetId="6">#REF!</definedName>
    <definedName name="RDRRATET18">#REF!</definedName>
    <definedName name="RDRRATET19" localSheetId="6">#REF!</definedName>
    <definedName name="RDRRATET19">#REF!</definedName>
    <definedName name="RDRRATET2" localSheetId="6">#REF!</definedName>
    <definedName name="RDRRATET2">#REF!</definedName>
    <definedName name="RDRRATET20" localSheetId="6">#REF!</definedName>
    <definedName name="RDRRATET20">#REF!</definedName>
    <definedName name="RDRRATET3" localSheetId="6">#REF!</definedName>
    <definedName name="RDRRATET3">#REF!</definedName>
    <definedName name="RDRRATET4" localSheetId="6">#REF!</definedName>
    <definedName name="RDRRATET4">#REF!</definedName>
    <definedName name="RDRRATET5" localSheetId="6">#REF!</definedName>
    <definedName name="RDRRATET5">#REF!</definedName>
    <definedName name="RDRRATET6" localSheetId="6">#REF!</definedName>
    <definedName name="RDRRATET6">#REF!</definedName>
    <definedName name="RDRRATET7" localSheetId="6">#REF!</definedName>
    <definedName name="RDRRATET7">#REF!</definedName>
    <definedName name="RDRRATET8" localSheetId="6">#REF!</definedName>
    <definedName name="RDRRATET8">#REF!</definedName>
    <definedName name="RDRRATET9" localSheetId="6">#REF!</definedName>
    <definedName name="RDRRATET9">#REF!</definedName>
    <definedName name="RDRTYPE" localSheetId="6">#REF!</definedName>
    <definedName name="RDRTYPE">#REF!</definedName>
    <definedName name="RDRUNITS" localSheetId="6">#REF!</definedName>
    <definedName name="RDRUNITS">#REF!</definedName>
    <definedName name="_xlnm.Recorder" localSheetId="6">#REF!</definedName>
    <definedName name="_xlnm.Recorder">#REF!</definedName>
    <definedName name="Reserved_Section" localSheetId="6">#REF!</definedName>
    <definedName name="Reserved_Section">#REF!</definedName>
    <definedName name="RIDERS" localSheetId="6">#REF!</definedName>
    <definedName name="RIDERS">#REF!</definedName>
    <definedName name="RKVAHRDNG" localSheetId="6">#REF!</definedName>
    <definedName name="RKVAHRDNG">#REF!</definedName>
    <definedName name="RTCHTCNTRCTCPCT" localSheetId="6">#REF!</definedName>
    <definedName name="RTCHTCNTRCTCPCT">#REF!</definedName>
    <definedName name="RTCHTFCTR" localSheetId="6">#REF!</definedName>
    <definedName name="RTCHTFCTR">#REF!</definedName>
    <definedName name="RTCHTFCTR2" localSheetId="6">#REF!</definedName>
    <definedName name="RTCHTFCTR2">#REF!</definedName>
    <definedName name="RTCHTHIPREVKW" localSheetId="6">#REF!</definedName>
    <definedName name="RTCHTHIPREVKW">#REF!</definedName>
    <definedName name="RTP_Detail" localSheetId="6">#REF!</definedName>
    <definedName name="RTP_Detail">#REF!</definedName>
    <definedName name="RTPLRKW" localSheetId="6">#REF!</definedName>
    <definedName name="RTPLRKW">#REF!</definedName>
    <definedName name="SDI" localSheetId="6">#REF!</definedName>
    <definedName name="SDI">#REF!</definedName>
    <definedName name="SHLDRPKKW" localSheetId="6">#REF!</definedName>
    <definedName name="SHLDRPKKW">#REF!</definedName>
    <definedName name="SHLDRPKKWDT" localSheetId="6">#REF!</definedName>
    <definedName name="SHLDRPKKWDT">#REF!</definedName>
    <definedName name="SHLDRPKKWTM" localSheetId="6">#REF!</definedName>
    <definedName name="SHLDRPKKWTM">#REF!</definedName>
    <definedName name="SHRDTRNSKWH" localSheetId="6">#REF!</definedName>
    <definedName name="SHRDTRNSKWH">#REF!</definedName>
    <definedName name="SRPLSKWH" localSheetId="6">#REF!</definedName>
    <definedName name="SRPLSKWH">#REF!</definedName>
    <definedName name="STARTDTM" localSheetId="6">#REF!</definedName>
    <definedName name="STARTDTM">#REF!</definedName>
    <definedName name="State" localSheetId="6">#REF!</definedName>
    <definedName name="State">#REF!</definedName>
    <definedName name="STDKW" localSheetId="6">#REF!</definedName>
    <definedName name="STDKW">#REF!</definedName>
    <definedName name="STDKWDT" localSheetId="6">#REF!</definedName>
    <definedName name="STDKWDT">#REF!</definedName>
    <definedName name="STDKWTM" localSheetId="6">#REF!</definedName>
    <definedName name="STDKWTM">#REF!</definedName>
    <definedName name="STRTTIME" localSheetId="6">#REF!</definedName>
    <definedName name="STRTTIME">#REF!</definedName>
    <definedName name="SWP_Proj_Allocators" localSheetId="6">#REF!</definedName>
    <definedName name="SWP_Proj_Allocators">#REF!</definedName>
    <definedName name="SWPallocatorsH" localSheetId="6">#REF!</definedName>
    <definedName name="SWPallocatorsH">#REF!</definedName>
    <definedName name="SWPallocatorsP" localSheetId="6">#REF!</definedName>
    <definedName name="SWPallocatorsP">#REF!</definedName>
    <definedName name="SYSPKKW" localSheetId="6">#REF!</definedName>
    <definedName name="SYSPKKW">#REF!</definedName>
    <definedName name="SYSPKKWDT" localSheetId="6">#REF!</definedName>
    <definedName name="SYSPKKWDT">#REF!</definedName>
    <definedName name="SYSPKKWTM" localSheetId="6">#REF!</definedName>
    <definedName name="SYSPKKWTM">#REF!</definedName>
    <definedName name="TARIFF1" localSheetId="6">#REF!</definedName>
    <definedName name="TARIFF1">#REF!</definedName>
    <definedName name="TARIFF2" localSheetId="6">#REF!</definedName>
    <definedName name="TARIFF2">#REF!</definedName>
    <definedName name="TariffCode" localSheetId="6">#REF!</definedName>
    <definedName name="TariffCode">#REF!</definedName>
    <definedName name="TariffLongName" localSheetId="6">#REF!</definedName>
    <definedName name="TariffLongName">#REF!</definedName>
    <definedName name="TariffShortName" localSheetId="6">#REF!</definedName>
    <definedName name="TariffShortName">#REF!</definedName>
    <definedName name="TAXDATE" localSheetId="6">#REF!</definedName>
    <definedName name="TAXDATE">#REF!</definedName>
    <definedName name="TAXES" localSheetId="6">#REF!</definedName>
    <definedName name="TAXES">#REF!</definedName>
    <definedName name="TAXNAME" localSheetId="6">#REF!</definedName>
    <definedName name="TAXNAME">#REF!</definedName>
    <definedName name="TAXRATE" localSheetId="6">#REF!</definedName>
    <definedName name="TAXRATE">#REF!</definedName>
    <definedName name="TAXTYPE" localSheetId="6">#REF!</definedName>
    <definedName name="TAXTYPE">#REF!</definedName>
    <definedName name="TCst" localSheetId="6">#REF!</definedName>
    <definedName name="TCst">#REF!</definedName>
    <definedName name="TCst1" localSheetId="6">#REF!</definedName>
    <definedName name="TCst1">#REF!</definedName>
    <definedName name="TIRPCCHG" localSheetId="6">#REF!</definedName>
    <definedName name="TIRPCCHG">#REF!</definedName>
    <definedName name="TIRPDCHG1" localSheetId="6">#REF!</definedName>
    <definedName name="TIRPDCHG1">#REF!</definedName>
    <definedName name="TIRPDCHG2" localSheetId="6">#REF!</definedName>
    <definedName name="TIRPDCHG2">#REF!</definedName>
    <definedName name="TIRPECHG1" localSheetId="6">#REF!</definedName>
    <definedName name="TIRPECHG1">#REF!</definedName>
    <definedName name="TIRPECHGB1" localSheetId="6">#REF!</definedName>
    <definedName name="TIRPECHGB1">#REF!</definedName>
    <definedName name="TIRPECHGB2" localSheetId="6">#REF!</definedName>
    <definedName name="TIRPECHGB2">#REF!</definedName>
    <definedName name="TIRPECHGB3" localSheetId="6">#REF!</definedName>
    <definedName name="TIRPECHGB3">#REF!</definedName>
    <definedName name="TIRPMECHG1" localSheetId="6">#REF!</definedName>
    <definedName name="TIRPMECHG1">#REF!</definedName>
    <definedName name="TIRPMINDC" localSheetId="6">#REF!</definedName>
    <definedName name="TIRPMINDC">#REF!</definedName>
    <definedName name="TIRPMINEC" localSheetId="6">#REF!</definedName>
    <definedName name="TIRPMINEC">#REF!</definedName>
    <definedName name="TIRPOFKVA" localSheetId="6">#REF!</definedName>
    <definedName name="TIRPOFKVA">#REF!</definedName>
    <definedName name="TIRPOFKW" localSheetId="6">#REF!</definedName>
    <definedName name="TIRPOFKW">#REF!</definedName>
    <definedName name="TIRPOFKWH" localSheetId="6">#REF!</definedName>
    <definedName name="TIRPOFKWH">#REF!</definedName>
    <definedName name="TIRPOPKWH" localSheetId="6">#REF!</definedName>
    <definedName name="TIRPOPKWH">#REF!</definedName>
    <definedName name="TIRPP1EC" localSheetId="6">#REF!</definedName>
    <definedName name="TIRPP1EC">#REF!</definedName>
    <definedName name="TIRPP2EC" localSheetId="6">#REF!</definedName>
    <definedName name="TIRPP2EC">#REF!</definedName>
    <definedName name="TIRPP3EC" localSheetId="6">#REF!</definedName>
    <definedName name="TIRPP3EC">#REF!</definedName>
    <definedName name="TIRPP4EC" localSheetId="6">#REF!</definedName>
    <definedName name="TIRPP4EC">#REF!</definedName>
    <definedName name="TIRPP5EC" localSheetId="6">#REF!</definedName>
    <definedName name="TIRPP5EC">#REF!</definedName>
    <definedName name="TIRPRCHG" localSheetId="6">#REF!</definedName>
    <definedName name="TIRPRCHG">#REF!</definedName>
    <definedName name="TLsFctr" localSheetId="6">#REF!</definedName>
    <definedName name="TLsFctr">#REF!</definedName>
    <definedName name="TRCRDKWH" localSheetId="6">#REF!</definedName>
    <definedName name="TRCRDKWH">#REF!</definedName>
    <definedName name="TRCRDKWH2P" localSheetId="6">#REF!</definedName>
    <definedName name="TRCRDKWH2P">#REF!</definedName>
    <definedName name="TRFDATE1" localSheetId="6">#REF!</definedName>
    <definedName name="TRFDATE1">#REF!</definedName>
    <definedName name="TRFDATE2" localSheetId="6">#REF!</definedName>
    <definedName name="TRFDATE2">#REF!</definedName>
    <definedName name="TRFNAME1" localSheetId="6">#REF!</definedName>
    <definedName name="TRFNAME1">#REF!</definedName>
    <definedName name="TRFNAME2" localSheetId="6">#REF!</definedName>
    <definedName name="TRFNAME2">#REF!</definedName>
    <definedName name="TRFSHORTNM1" localSheetId="6">#REF!</definedName>
    <definedName name="TRFSHORTNM1">#REF!</definedName>
    <definedName name="TRFSHORTNM2" localSheetId="6">#REF!</definedName>
    <definedName name="TRFSHORTNM2">#REF!</definedName>
    <definedName name="TrnBlkKwhChg1" localSheetId="6">#REF!</definedName>
    <definedName name="TrnBlkKwhChg1">#REF!</definedName>
    <definedName name="TrnBlkKwhChg2" localSheetId="6">#REF!</definedName>
    <definedName name="TrnBlkKwhChg2">#REF!</definedName>
    <definedName name="TrnBlkKwhChg3" localSheetId="6">#REF!</definedName>
    <definedName name="TrnBlkKwhChg3">#REF!</definedName>
    <definedName name="TrnBlkKwhChgT" localSheetId="6">#REF!</definedName>
    <definedName name="TrnBlkKwhChgT">#REF!</definedName>
    <definedName name="TRNCCHG" localSheetId="6">#REF!</definedName>
    <definedName name="TRNCCHG">#REF!</definedName>
    <definedName name="TrnCustChg" localSheetId="6">#REF!</definedName>
    <definedName name="TrnCustChg">#REF!</definedName>
    <definedName name="TRNDCHG1" localSheetId="6">#REF!</definedName>
    <definedName name="TRNDCHG1">#REF!</definedName>
    <definedName name="TRNDCHG2" localSheetId="6">#REF!</definedName>
    <definedName name="TRNDCHG2">#REF!</definedName>
    <definedName name="TrnDmdChg1" localSheetId="6">#REF!</definedName>
    <definedName name="TrnDmdChg1">#REF!</definedName>
    <definedName name="TrnDmdChg2" localSheetId="6">#REF!</definedName>
    <definedName name="TrnDmdChg2">#REF!</definedName>
    <definedName name="TRNECHG1" localSheetId="6">#REF!</definedName>
    <definedName name="TRNECHG1">#REF!</definedName>
    <definedName name="TRNECHGB1" localSheetId="6">#REF!</definedName>
    <definedName name="TRNECHGB1">#REF!</definedName>
    <definedName name="TRNECHGB2" localSheetId="6">#REF!</definedName>
    <definedName name="TRNECHGB2">#REF!</definedName>
    <definedName name="TRNECHGB3" localSheetId="6">#REF!</definedName>
    <definedName name="TRNECHGB3">#REF!</definedName>
    <definedName name="TrnMEChg" localSheetId="6">#REF!</definedName>
    <definedName name="TrnMEChg">#REF!</definedName>
    <definedName name="TRNMECHG1" localSheetId="6">#REF!</definedName>
    <definedName name="TRNMECHG1">#REF!</definedName>
    <definedName name="TRNMINDC" localSheetId="6">#REF!</definedName>
    <definedName name="TRNMINDC">#REF!</definedName>
    <definedName name="TrnMinDChg" localSheetId="6">#REF!</definedName>
    <definedName name="TrnMinDChg">#REF!</definedName>
    <definedName name="TRNMINEC" localSheetId="6">#REF!</definedName>
    <definedName name="TRNMINEC">#REF!</definedName>
    <definedName name="TrnMinEChg" localSheetId="6">#REF!</definedName>
    <definedName name="TrnMinEChg">#REF!</definedName>
    <definedName name="TrnOffPkKwh" localSheetId="6">#REF!</definedName>
    <definedName name="TrnOffPkKwh">#REF!</definedName>
    <definedName name="TRNOFKWH" localSheetId="6">#REF!</definedName>
    <definedName name="TRNOFKWH">#REF!</definedName>
    <definedName name="TrnOnPkKwh" localSheetId="6">#REF!</definedName>
    <definedName name="TrnOnPkKwh">#REF!</definedName>
    <definedName name="TRNOPKWH" localSheetId="6">#REF!</definedName>
    <definedName name="TRNOPKWH">#REF!</definedName>
    <definedName name="TRNP1EC" localSheetId="6">#REF!</definedName>
    <definedName name="TRNP1EC">#REF!</definedName>
    <definedName name="TRNP2EC" localSheetId="6">#REF!</definedName>
    <definedName name="TRNP2EC">#REF!</definedName>
    <definedName name="TRNP3EC" localSheetId="6">#REF!</definedName>
    <definedName name="TRNP3EC">#REF!</definedName>
    <definedName name="TRNP4EC" localSheetId="6">#REF!</definedName>
    <definedName name="TRNP4EC">#REF!</definedName>
    <definedName name="TRNP5EC" localSheetId="6">#REF!</definedName>
    <definedName name="TRNP5EC">#REF!</definedName>
    <definedName name="TrnPL1Chg" localSheetId="6">#REF!</definedName>
    <definedName name="TrnPL1Chg">#REF!</definedName>
    <definedName name="TrnPL2Chg" localSheetId="6">#REF!</definedName>
    <definedName name="TrnPL2Chg">#REF!</definedName>
    <definedName name="TrnPL3Chg" localSheetId="6">#REF!</definedName>
    <definedName name="TrnPL3Chg">#REF!</definedName>
    <definedName name="TrnPL4Chg" localSheetId="6">#REF!</definedName>
    <definedName name="TrnPL4Chg">#REF!</definedName>
    <definedName name="TrnPL5Chg" localSheetId="6">#REF!</definedName>
    <definedName name="TrnPL5Chg">#REF!</definedName>
    <definedName name="TRNRCHG" localSheetId="6">#REF!</definedName>
    <definedName name="TRNRCHG">#REF!</definedName>
    <definedName name="TrnReactiveChg" localSheetId="6">#REF!</definedName>
    <definedName name="TrnReactiveChg">#REF!</definedName>
    <definedName name="TRNSKWTOFPK" localSheetId="6">#REF!</definedName>
    <definedName name="TRNSKWTOFPK">#REF!</definedName>
    <definedName name="TRNSKWTONPK" localSheetId="6">#REF!</definedName>
    <definedName name="TRNSKWTONPK">#REF!</definedName>
    <definedName name="TRNXOFKVA" localSheetId="6">#REF!</definedName>
    <definedName name="TRNXOFKVA">#REF!</definedName>
    <definedName name="TRNXOFKW" localSheetId="6">#REF!</definedName>
    <definedName name="TRNXOFKW">#REF!</definedName>
    <definedName name="TrnXOfpKvaChg" localSheetId="6">#REF!</definedName>
    <definedName name="TrnXOfpKvaChg">#REF!</definedName>
    <definedName name="TrnXOfpKwChg" localSheetId="6">#REF!</definedName>
    <definedName name="TrnXOfpKwChg">#REF!</definedName>
    <definedName name="TTLBSRATETTL" localSheetId="6">#REF!</definedName>
    <definedName name="TTLBSRATETTL">#REF!</definedName>
    <definedName name="TTLCOGENKWH" localSheetId="6">#REF!</definedName>
    <definedName name="TTLCOGENKWH">#REF!</definedName>
    <definedName name="UNBUNDIND" localSheetId="6">#REF!</definedName>
    <definedName name="UNBUNDIND">#REF!</definedName>
    <definedName name="Z_3768C7C8_9953_11DA_B318_000FB55D51DC_.wvu.PrintArea" localSheetId="8" hidden="1">'WS C  - Working Capital'!$A$10:$N$74</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Capital'!$A$10:$N$74</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Capital'!$A$10:$N$74</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Capital'!$A$10:$N$74</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Amts'!$A$3:$F$118</definedName>
    <definedName name="Z_C5140E12_E05E_4473_9142_42F37320A417_.wvu.PrintArea" localSheetId="16" hidden="1">'WS J PROJECTED RTEP RR'!$A$3:$O$81</definedName>
    <definedName name="Z_C5140E12_E05E_4473_9142_42F37320A417_.wvu.PrintTitles" localSheetId="14" hidden="1">'WS H-1-Detail of Tax Amts'!$3:$7</definedName>
    <definedName name="Zip" localSheetId="23">#REF!</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0" i="39" l="1"/>
  <c r="C70" i="39"/>
  <c r="G70" i="39" l="1"/>
  <c r="J70" i="38" l="1"/>
  <c r="I70" i="38"/>
  <c r="C70" i="38"/>
  <c r="G179" i="2" l="1"/>
  <c r="G148" i="2"/>
  <c r="Q60" i="51" l="1"/>
  <c r="P59" i="51"/>
  <c r="P58" i="51"/>
  <c r="P57" i="51"/>
  <c r="P56" i="51"/>
  <c r="Q55" i="51"/>
  <c r="P30" i="51"/>
  <c r="P29" i="51"/>
  <c r="P28" i="51"/>
  <c r="P27" i="51"/>
  <c r="Q26" i="51"/>
  <c r="K80" i="38" l="1"/>
  <c r="J80" i="38"/>
  <c r="I80" i="38"/>
  <c r="C80" i="38"/>
  <c r="K79" i="38"/>
  <c r="K78" i="38"/>
  <c r="K77" i="38"/>
  <c r="D87" i="38"/>
  <c r="D86" i="38"/>
  <c r="J87" i="38"/>
  <c r="I87" i="38"/>
  <c r="C87" i="38"/>
  <c r="J86" i="38"/>
  <c r="I86" i="38"/>
  <c r="C86" i="38"/>
  <c r="D69" i="38"/>
  <c r="J69" i="38"/>
  <c r="I69" i="38"/>
  <c r="C69" i="38"/>
  <c r="J77" i="38"/>
  <c r="I81" i="38"/>
  <c r="I77" i="38"/>
  <c r="K81" i="38"/>
  <c r="J81" i="38"/>
  <c r="C81" i="38"/>
  <c r="J79" i="38"/>
  <c r="C79" i="38"/>
  <c r="J78" i="38"/>
  <c r="C78" i="38"/>
  <c r="C77" i="38"/>
  <c r="I97" i="38"/>
  <c r="K97" i="38"/>
  <c r="J97" i="38"/>
  <c r="C97" i="38"/>
  <c r="K35" i="38"/>
  <c r="J35" i="38"/>
  <c r="I35" i="38"/>
  <c r="C35" i="38"/>
  <c r="K70" i="38" l="1"/>
  <c r="D70" i="38"/>
  <c r="G70" i="38" s="1"/>
  <c r="D80" i="38"/>
  <c r="G80" i="38" s="1"/>
  <c r="D78" i="38"/>
  <c r="G78" i="38" s="1"/>
  <c r="D79" i="38"/>
  <c r="G79" i="38" s="1"/>
  <c r="K87" i="38"/>
  <c r="K86" i="38"/>
  <c r="G87" i="38"/>
  <c r="G86" i="38"/>
  <c r="K69" i="38"/>
  <c r="G69" i="38"/>
  <c r="D77" i="38"/>
  <c r="G77" i="38" s="1"/>
  <c r="I79" i="38"/>
  <c r="D81" i="38"/>
  <c r="G81" i="38" s="1"/>
  <c r="I78" i="38"/>
  <c r="D97" i="38"/>
  <c r="G97" i="38" s="1"/>
  <c r="D35" i="38"/>
  <c r="G35" i="38" s="1"/>
  <c r="D18" i="39" l="1"/>
  <c r="K18" i="39"/>
  <c r="I18" i="39"/>
  <c r="C18" i="39"/>
  <c r="J18" i="39" l="1"/>
  <c r="G18" i="39"/>
  <c r="I48" i="6" l="1"/>
  <c r="K48" i="6" s="1"/>
  <c r="E48" i="6" l="1"/>
  <c r="D52" i="38"/>
  <c r="C52" i="38"/>
  <c r="G52" i="38" l="1"/>
  <c r="L68" i="51" l="1"/>
  <c r="K68" i="51"/>
  <c r="J68" i="51"/>
  <c r="I68" i="51"/>
  <c r="P64" i="51"/>
  <c r="P63" i="51"/>
  <c r="P54" i="51"/>
  <c r="P53" i="51"/>
  <c r="Q52" i="51"/>
  <c r="Q51" i="51"/>
  <c r="P49" i="51"/>
  <c r="P48" i="51"/>
  <c r="P45" i="51"/>
  <c r="L39" i="51"/>
  <c r="K39" i="51"/>
  <c r="J39" i="51"/>
  <c r="I39" i="51"/>
  <c r="P35" i="51"/>
  <c r="P34" i="51"/>
  <c r="P25" i="51"/>
  <c r="P24" i="51"/>
  <c r="Q23" i="51"/>
  <c r="P20" i="51"/>
  <c r="P19" i="51"/>
  <c r="P16" i="51"/>
  <c r="P13" i="51"/>
  <c r="Q50" i="51" l="1"/>
  <c r="Q47" i="51"/>
  <c r="Q22" i="51"/>
  <c r="Q18" i="51"/>
  <c r="Q21" i="51"/>
  <c r="O68" i="51"/>
  <c r="P65" i="51"/>
  <c r="N39" i="51"/>
  <c r="N68" i="51"/>
  <c r="O39" i="51"/>
  <c r="Q17" i="51"/>
  <c r="P44" i="51"/>
  <c r="Q46" i="51"/>
  <c r="P14" i="51"/>
  <c r="Q15" i="51"/>
  <c r="P36" i="51"/>
  <c r="Q68" i="51" l="1"/>
  <c r="P68" i="51"/>
  <c r="Q39" i="51"/>
  <c r="P39" i="51"/>
  <c r="M68" i="51"/>
  <c r="M39" i="51"/>
  <c r="K70" i="6" l="1"/>
  <c r="E70" i="6"/>
  <c r="K69" i="6"/>
  <c r="E69" i="6" s="1"/>
  <c r="J68" i="6"/>
  <c r="K68" i="6" s="1"/>
  <c r="I67" i="6"/>
  <c r="K67" i="6" s="1"/>
  <c r="K66" i="6"/>
  <c r="E66" i="6" s="1"/>
  <c r="J65" i="6"/>
  <c r="K65" i="6" s="1"/>
  <c r="E64" i="6"/>
  <c r="K63" i="6"/>
  <c r="E63" i="6" s="1"/>
  <c r="K62" i="6"/>
  <c r="I61" i="6"/>
  <c r="K61" i="6" s="1"/>
  <c r="E61" i="6" s="1"/>
  <c r="F117" i="38"/>
  <c r="E117" i="38"/>
  <c r="O117" i="38"/>
  <c r="N117" i="38"/>
  <c r="M117" i="38"/>
  <c r="A62" i="38"/>
  <c r="A28" i="38"/>
  <c r="F58" i="38"/>
  <c r="E58" i="38"/>
  <c r="O58" i="38"/>
  <c r="N58" i="38"/>
  <c r="M58" i="38"/>
  <c r="F74" i="39"/>
  <c r="E74" i="39"/>
  <c r="O74" i="39"/>
  <c r="N74" i="39"/>
  <c r="M74" i="39"/>
  <c r="A17" i="39"/>
  <c r="A18" i="39" s="1"/>
  <c r="A19" i="39" s="1"/>
  <c r="A20" i="39" s="1"/>
  <c r="A21" i="39" s="1"/>
  <c r="A22" i="39" s="1"/>
  <c r="A23" i="39" s="1"/>
  <c r="A24" i="39" s="1"/>
  <c r="A25" i="39" s="1"/>
  <c r="E99" i="2"/>
  <c r="H252" i="2"/>
  <c r="H62" i="35"/>
  <c r="G62" i="35"/>
  <c r="L243" i="2" s="1"/>
  <c r="M42" i="35"/>
  <c r="G90" i="2" s="1"/>
  <c r="L42" i="35"/>
  <c r="G89" i="2" s="1"/>
  <c r="M23" i="35"/>
  <c r="G76" i="2" s="1"/>
  <c r="L23" i="35"/>
  <c r="G75" i="2" s="1"/>
  <c r="L242" i="2" s="1"/>
  <c r="I19" i="6"/>
  <c r="G120" i="2" s="1"/>
  <c r="L244" i="2" l="1"/>
  <c r="L246" i="2" s="1"/>
  <c r="J252" i="2" s="1"/>
  <c r="L252" i="2" s="1"/>
  <c r="G99" i="2"/>
  <c r="E68" i="6"/>
  <c r="E67" i="6"/>
  <c r="E65" i="6"/>
  <c r="J75" i="2" l="1"/>
  <c r="L75" i="2" s="1"/>
  <c r="J76" i="2"/>
  <c r="L76" i="2" s="1"/>
  <c r="J90" i="2"/>
  <c r="L90" i="2" s="1"/>
  <c r="J89" i="2"/>
  <c r="L89" i="2" s="1"/>
  <c r="J184" i="2"/>
  <c r="L184" i="2" s="1"/>
  <c r="J166" i="2"/>
  <c r="L166" i="2" s="1"/>
  <c r="J120" i="2"/>
  <c r="L120" i="2" s="1"/>
  <c r="L99" i="2" l="1"/>
  <c r="G185" i="2" l="1"/>
  <c r="S74" i="39" l="1"/>
  <c r="R74" i="39"/>
  <c r="Q74" i="39"/>
  <c r="J71" i="39"/>
  <c r="K71" i="39"/>
  <c r="I71" i="39"/>
  <c r="C71" i="39"/>
  <c r="D69" i="39"/>
  <c r="C69" i="39"/>
  <c r="R117" i="38"/>
  <c r="S117" i="38"/>
  <c r="Q117" i="38"/>
  <c r="G69" i="39" l="1"/>
  <c r="D71" i="39"/>
  <c r="G71" i="39" s="1"/>
  <c r="C62" i="38" l="1"/>
  <c r="D62" i="38"/>
  <c r="I62" i="38"/>
  <c r="J62" i="38"/>
  <c r="K62" i="38"/>
  <c r="C63" i="38"/>
  <c r="D63" i="38"/>
  <c r="I63" i="38"/>
  <c r="J63" i="38"/>
  <c r="K63" i="38"/>
  <c r="C64" i="38"/>
  <c r="D64" i="38"/>
  <c r="I64" i="38"/>
  <c r="J64" i="38"/>
  <c r="K64" i="38"/>
  <c r="C65" i="38"/>
  <c r="D65" i="38"/>
  <c r="I65" i="38"/>
  <c r="J65" i="38"/>
  <c r="K65" i="38"/>
  <c r="C66" i="38"/>
  <c r="D66" i="38"/>
  <c r="I66" i="38"/>
  <c r="J66" i="38"/>
  <c r="K66" i="38"/>
  <c r="C67" i="38"/>
  <c r="D67" i="38"/>
  <c r="I67" i="38"/>
  <c r="J67" i="38"/>
  <c r="K67" i="38"/>
  <c r="C68" i="38"/>
  <c r="D68" i="38"/>
  <c r="I68" i="38"/>
  <c r="J68" i="38"/>
  <c r="K68" i="38"/>
  <c r="C71" i="38"/>
  <c r="D71" i="38"/>
  <c r="I71" i="38"/>
  <c r="J71" i="38"/>
  <c r="K71" i="38"/>
  <c r="C72" i="38"/>
  <c r="D72" i="38"/>
  <c r="I72" i="38"/>
  <c r="J72" i="38"/>
  <c r="K72" i="38"/>
  <c r="C73" i="38"/>
  <c r="D73" i="38"/>
  <c r="I73" i="38"/>
  <c r="J73" i="38"/>
  <c r="K73" i="38"/>
  <c r="C74" i="38"/>
  <c r="D74" i="38"/>
  <c r="I74" i="38"/>
  <c r="J74" i="38"/>
  <c r="K74" i="38"/>
  <c r="C75" i="38"/>
  <c r="D75" i="38"/>
  <c r="I75" i="38"/>
  <c r="J75" i="38"/>
  <c r="K75" i="38"/>
  <c r="C76" i="38"/>
  <c r="D76" i="38"/>
  <c r="I76" i="38"/>
  <c r="J76" i="38"/>
  <c r="K76" i="38"/>
  <c r="C82" i="38"/>
  <c r="D82" i="38"/>
  <c r="I82" i="38"/>
  <c r="J82" i="38"/>
  <c r="K82" i="38"/>
  <c r="C83" i="38"/>
  <c r="D83" i="38"/>
  <c r="I83" i="38"/>
  <c r="J83" i="38"/>
  <c r="K83" i="38"/>
  <c r="C84" i="38"/>
  <c r="D84" i="38"/>
  <c r="I84" i="38"/>
  <c r="J84" i="38"/>
  <c r="K84" i="38"/>
  <c r="C85" i="38"/>
  <c r="D85" i="38"/>
  <c r="I85" i="38"/>
  <c r="J85" i="38"/>
  <c r="K85" i="38"/>
  <c r="C88" i="38"/>
  <c r="D88" i="38"/>
  <c r="I88" i="38"/>
  <c r="J88" i="38"/>
  <c r="K88" i="38"/>
  <c r="C89" i="38"/>
  <c r="D89" i="38"/>
  <c r="I89" i="38"/>
  <c r="J89" i="38"/>
  <c r="K89" i="38"/>
  <c r="C90" i="38"/>
  <c r="D90" i="38"/>
  <c r="I90" i="38"/>
  <c r="J90" i="38"/>
  <c r="K90" i="38"/>
  <c r="C91" i="38"/>
  <c r="C117" i="38" s="1"/>
  <c r="D91" i="38"/>
  <c r="D117" i="38" s="1"/>
  <c r="I91" i="38"/>
  <c r="I117" i="38" s="1"/>
  <c r="J91" i="38"/>
  <c r="J117" i="38" s="1"/>
  <c r="K91" i="38"/>
  <c r="K117" i="38" s="1"/>
  <c r="C92" i="38"/>
  <c r="D92" i="38"/>
  <c r="I92" i="38"/>
  <c r="J92" i="38"/>
  <c r="K92" i="38"/>
  <c r="C93" i="38"/>
  <c r="D93" i="38"/>
  <c r="I93" i="38"/>
  <c r="J93" i="38"/>
  <c r="K93" i="38"/>
  <c r="C94" i="38"/>
  <c r="D94" i="38"/>
  <c r="I94" i="38"/>
  <c r="J94" i="38"/>
  <c r="K94" i="38"/>
  <c r="C95" i="38"/>
  <c r="D95" i="38"/>
  <c r="I95" i="38"/>
  <c r="J95" i="38"/>
  <c r="K95" i="38"/>
  <c r="C96" i="38"/>
  <c r="D96" i="38"/>
  <c r="I96" i="38"/>
  <c r="J96" i="38"/>
  <c r="K96" i="38"/>
  <c r="C98" i="38"/>
  <c r="D98" i="38"/>
  <c r="I98" i="38"/>
  <c r="J98" i="38"/>
  <c r="K98" i="38"/>
  <c r="C99" i="38"/>
  <c r="D99" i="38"/>
  <c r="I99" i="38"/>
  <c r="J99" i="38"/>
  <c r="K99" i="38"/>
  <c r="S58" i="38"/>
  <c r="R58" i="38"/>
  <c r="Q58" i="38"/>
  <c r="C28" i="38"/>
  <c r="D28" i="38"/>
  <c r="I28" i="38"/>
  <c r="J28" i="38"/>
  <c r="K28" i="38"/>
  <c r="C29" i="38"/>
  <c r="D29" i="38"/>
  <c r="I29" i="38"/>
  <c r="J29" i="38"/>
  <c r="K29" i="38"/>
  <c r="C30" i="38"/>
  <c r="D30" i="38"/>
  <c r="I30" i="38"/>
  <c r="J30" i="38"/>
  <c r="K30" i="38"/>
  <c r="C31" i="38"/>
  <c r="D31" i="38"/>
  <c r="I31" i="38"/>
  <c r="J31" i="38"/>
  <c r="K31" i="38"/>
  <c r="C32" i="38"/>
  <c r="C58" i="38" s="1"/>
  <c r="D32" i="38"/>
  <c r="D58" i="38" s="1"/>
  <c r="I32" i="38"/>
  <c r="I58" i="38" s="1"/>
  <c r="J32" i="38"/>
  <c r="J58" i="38" s="1"/>
  <c r="K32" i="38"/>
  <c r="K58" i="38" s="1"/>
  <c r="C33" i="38"/>
  <c r="D33" i="38"/>
  <c r="I33" i="38"/>
  <c r="J33" i="38"/>
  <c r="K33" i="38"/>
  <c r="C34" i="38"/>
  <c r="D34" i="38"/>
  <c r="I34" i="38"/>
  <c r="J34" i="38"/>
  <c r="K34" i="38"/>
  <c r="C36" i="38"/>
  <c r="D36" i="38"/>
  <c r="I36" i="38"/>
  <c r="J36" i="38"/>
  <c r="K36" i="38"/>
  <c r="C37" i="38"/>
  <c r="D37" i="38"/>
  <c r="I37" i="38"/>
  <c r="J37" i="38"/>
  <c r="K37" i="38"/>
  <c r="C38" i="38"/>
  <c r="D38" i="38"/>
  <c r="I38" i="38"/>
  <c r="J38" i="38"/>
  <c r="K38" i="38"/>
  <c r="C39" i="38"/>
  <c r="D39" i="38"/>
  <c r="I39" i="38"/>
  <c r="J39" i="38"/>
  <c r="K39" i="38"/>
  <c r="C40" i="38"/>
  <c r="D40" i="38"/>
  <c r="I40" i="38"/>
  <c r="J40" i="38"/>
  <c r="K40" i="38"/>
  <c r="C41" i="38"/>
  <c r="D41" i="38"/>
  <c r="I41" i="38"/>
  <c r="J41" i="38"/>
  <c r="K41" i="38"/>
  <c r="C42" i="38"/>
  <c r="D42" i="38"/>
  <c r="I42" i="38"/>
  <c r="J42" i="38"/>
  <c r="K42" i="38"/>
  <c r="C43" i="38"/>
  <c r="D43" i="38"/>
  <c r="I43" i="38"/>
  <c r="J43" i="38"/>
  <c r="K43" i="38"/>
  <c r="C44" i="38"/>
  <c r="D44" i="38"/>
  <c r="I44" i="38"/>
  <c r="J44" i="38"/>
  <c r="K44" i="38"/>
  <c r="C45" i="38"/>
  <c r="D45" i="38"/>
  <c r="I45" i="38"/>
  <c r="J45" i="38"/>
  <c r="K45" i="38"/>
  <c r="C46" i="38"/>
  <c r="D46" i="38"/>
  <c r="I46" i="38"/>
  <c r="J46" i="38"/>
  <c r="K46" i="38"/>
  <c r="C47" i="38"/>
  <c r="D47" i="38"/>
  <c r="I47" i="38"/>
  <c r="J47" i="38"/>
  <c r="K47" i="38"/>
  <c r="C17" i="39"/>
  <c r="D17" i="39"/>
  <c r="I17" i="39"/>
  <c r="J17" i="39"/>
  <c r="K17" i="39"/>
  <c r="C19" i="39"/>
  <c r="D19" i="39"/>
  <c r="I19" i="39"/>
  <c r="J19" i="39"/>
  <c r="K19" i="39"/>
  <c r="C20" i="39"/>
  <c r="D20" i="39"/>
  <c r="I20" i="39"/>
  <c r="J20" i="39"/>
  <c r="K20" i="39"/>
  <c r="C21" i="39"/>
  <c r="D21" i="39"/>
  <c r="I21" i="39"/>
  <c r="J21" i="39"/>
  <c r="K21" i="39"/>
  <c r="C22" i="39"/>
  <c r="D22" i="39"/>
  <c r="I22" i="39"/>
  <c r="J22" i="39"/>
  <c r="K22" i="39"/>
  <c r="C23" i="39"/>
  <c r="D23" i="39"/>
  <c r="I23" i="39"/>
  <c r="J23" i="39"/>
  <c r="K23" i="39"/>
  <c r="C24" i="39"/>
  <c r="D24" i="39"/>
  <c r="I24" i="39"/>
  <c r="J24" i="39"/>
  <c r="K24" i="39"/>
  <c r="C25" i="39"/>
  <c r="D25" i="39"/>
  <c r="I25" i="39"/>
  <c r="J25" i="39"/>
  <c r="K25" i="39"/>
  <c r="C26" i="39"/>
  <c r="D26" i="39"/>
  <c r="I26" i="39"/>
  <c r="J26" i="39"/>
  <c r="K26" i="39"/>
  <c r="C27" i="39"/>
  <c r="D27" i="39"/>
  <c r="I27" i="39"/>
  <c r="J27" i="39"/>
  <c r="K27" i="39"/>
  <c r="C28" i="39"/>
  <c r="D28" i="39"/>
  <c r="I28" i="39"/>
  <c r="J28" i="39"/>
  <c r="K28" i="39"/>
  <c r="C29" i="39"/>
  <c r="D29" i="39"/>
  <c r="I29" i="39"/>
  <c r="J29" i="39"/>
  <c r="K29" i="39"/>
  <c r="C30" i="39"/>
  <c r="D30" i="39"/>
  <c r="I30" i="39"/>
  <c r="J30" i="39"/>
  <c r="K30" i="39"/>
  <c r="C31" i="39"/>
  <c r="D31" i="39"/>
  <c r="I31" i="39"/>
  <c r="J31" i="39"/>
  <c r="K31" i="39"/>
  <c r="C32" i="39"/>
  <c r="D32" i="39"/>
  <c r="I32" i="39"/>
  <c r="J32" i="39"/>
  <c r="K32" i="39"/>
  <c r="C33" i="39"/>
  <c r="D33" i="39"/>
  <c r="I33" i="39"/>
  <c r="J33" i="39"/>
  <c r="K33" i="39"/>
  <c r="C34" i="39"/>
  <c r="D34" i="39"/>
  <c r="I34" i="39"/>
  <c r="J34" i="39"/>
  <c r="K34" i="39"/>
  <c r="C35" i="39"/>
  <c r="D35" i="39"/>
  <c r="I35" i="39"/>
  <c r="J35" i="39"/>
  <c r="K35" i="39"/>
  <c r="C36" i="39"/>
  <c r="D36" i="39"/>
  <c r="I36" i="39"/>
  <c r="J36" i="39"/>
  <c r="K36" i="39"/>
  <c r="C37" i="39"/>
  <c r="D37" i="39"/>
  <c r="I37" i="39"/>
  <c r="J37" i="39"/>
  <c r="K37" i="39"/>
  <c r="C38" i="39"/>
  <c r="D38" i="39"/>
  <c r="I38" i="39"/>
  <c r="J38" i="39"/>
  <c r="K38" i="39"/>
  <c r="C39" i="39"/>
  <c r="D39" i="39"/>
  <c r="I39" i="39"/>
  <c r="J39" i="39"/>
  <c r="K39" i="39"/>
  <c r="C40" i="39"/>
  <c r="D40" i="39"/>
  <c r="I40" i="39"/>
  <c r="J40" i="39"/>
  <c r="K40" i="39"/>
  <c r="C41" i="39"/>
  <c r="D41" i="39"/>
  <c r="I41" i="39"/>
  <c r="J41" i="39"/>
  <c r="K41" i="39"/>
  <c r="C42" i="39"/>
  <c r="D42" i="39"/>
  <c r="I42" i="39"/>
  <c r="J42" i="39"/>
  <c r="K42" i="39"/>
  <c r="C43" i="39"/>
  <c r="D43" i="39"/>
  <c r="I43" i="39"/>
  <c r="J43" i="39"/>
  <c r="K43" i="39"/>
  <c r="C44" i="39"/>
  <c r="D44" i="39"/>
  <c r="I44" i="39"/>
  <c r="J44" i="39"/>
  <c r="K44" i="39"/>
  <c r="C45" i="39"/>
  <c r="D45" i="39"/>
  <c r="I45" i="39"/>
  <c r="J45" i="39"/>
  <c r="K45" i="39"/>
  <c r="C46" i="39"/>
  <c r="D46" i="39"/>
  <c r="I46" i="39"/>
  <c r="J46" i="39"/>
  <c r="K46" i="39"/>
  <c r="C47" i="39"/>
  <c r="D47" i="39"/>
  <c r="I47" i="39"/>
  <c r="J47" i="39"/>
  <c r="K47" i="39"/>
  <c r="C48" i="39"/>
  <c r="D48" i="39"/>
  <c r="I48" i="39"/>
  <c r="J48" i="39"/>
  <c r="K48" i="39"/>
  <c r="C49" i="39"/>
  <c r="D49" i="39"/>
  <c r="I49" i="39"/>
  <c r="J49" i="39"/>
  <c r="K49" i="39"/>
  <c r="C50" i="39"/>
  <c r="D50" i="39"/>
  <c r="I50" i="39"/>
  <c r="J50" i="39"/>
  <c r="K50" i="39"/>
  <c r="C51" i="39"/>
  <c r="D51" i="39"/>
  <c r="I51" i="39"/>
  <c r="J51" i="39"/>
  <c r="K51" i="39"/>
  <c r="C52" i="39"/>
  <c r="D52" i="39"/>
  <c r="I52" i="39"/>
  <c r="J52" i="39"/>
  <c r="K52" i="39"/>
  <c r="C53" i="39"/>
  <c r="D53" i="39"/>
  <c r="I53" i="39"/>
  <c r="J53" i="39"/>
  <c r="K53" i="39"/>
  <c r="C54" i="39"/>
  <c r="D54" i="39"/>
  <c r="I54" i="39"/>
  <c r="J54" i="39"/>
  <c r="K54" i="39"/>
  <c r="C55" i="39"/>
  <c r="D55" i="39"/>
  <c r="I55" i="39"/>
  <c r="J55" i="39"/>
  <c r="K55" i="39"/>
  <c r="C56" i="39"/>
  <c r="D56" i="39"/>
  <c r="I56" i="39"/>
  <c r="J56" i="39"/>
  <c r="K56" i="39"/>
  <c r="C57" i="39"/>
  <c r="D57" i="39"/>
  <c r="I57" i="39"/>
  <c r="J57" i="39"/>
  <c r="K57" i="39"/>
  <c r="C58" i="39"/>
  <c r="D58" i="39"/>
  <c r="I58" i="39"/>
  <c r="J58" i="39"/>
  <c r="K58" i="39"/>
  <c r="C59" i="39"/>
  <c r="D59" i="39"/>
  <c r="I59" i="39"/>
  <c r="J59" i="39"/>
  <c r="K59" i="39"/>
  <c r="C74" i="39" l="1"/>
  <c r="I74" i="39"/>
  <c r="K74" i="39"/>
  <c r="J74" i="39"/>
  <c r="D74" i="39"/>
  <c r="G98" i="38"/>
  <c r="G84" i="38"/>
  <c r="G95" i="38"/>
  <c r="G74" i="38"/>
  <c r="G92" i="38"/>
  <c r="G90" i="38"/>
  <c r="G82" i="38"/>
  <c r="G65" i="38"/>
  <c r="G91" i="38"/>
  <c r="G117" i="38" s="1"/>
  <c r="G76" i="38"/>
  <c r="G66" i="38"/>
  <c r="G83" i="38"/>
  <c r="G72" i="38"/>
  <c r="G93" i="38"/>
  <c r="G96" i="38"/>
  <c r="G88" i="38"/>
  <c r="G73" i="38"/>
  <c r="G94" i="38"/>
  <c r="G71" i="38"/>
  <c r="G89" i="38"/>
  <c r="G64" i="38"/>
  <c r="G68" i="38"/>
  <c r="G99" i="38"/>
  <c r="G75" i="38"/>
  <c r="G63" i="38"/>
  <c r="G67" i="38"/>
  <c r="G85" i="38"/>
  <c r="G62" i="38"/>
  <c r="G30" i="38"/>
  <c r="G45" i="38"/>
  <c r="G40" i="38"/>
  <c r="G36" i="38"/>
  <c r="G38" i="38"/>
  <c r="G43" i="38"/>
  <c r="G47" i="38"/>
  <c r="G39" i="38"/>
  <c r="G41" i="38"/>
  <c r="G32" i="38"/>
  <c r="G58" i="38" s="1"/>
  <c r="G37" i="38"/>
  <c r="G34" i="38"/>
  <c r="G42" i="38"/>
  <c r="G46" i="38"/>
  <c r="G29" i="38"/>
  <c r="G33" i="38"/>
  <c r="G44" i="38"/>
  <c r="G31" i="38"/>
  <c r="G28" i="38"/>
  <c r="G57" i="39"/>
  <c r="G40" i="39"/>
  <c r="G23" i="39"/>
  <c r="G52" i="39"/>
  <c r="G44" i="39"/>
  <c r="G55" i="39"/>
  <c r="G36" i="39"/>
  <c r="G50" i="39"/>
  <c r="G42" i="39"/>
  <c r="G34" i="39"/>
  <c r="G17" i="39"/>
  <c r="G20" i="39"/>
  <c r="G28" i="39"/>
  <c r="G58" i="39"/>
  <c r="G47" i="39"/>
  <c r="G39" i="39"/>
  <c r="G31" i="39"/>
  <c r="G56" i="39"/>
  <c r="G48" i="39"/>
  <c r="G32" i="39"/>
  <c r="G26" i="39"/>
  <c r="G24" i="39"/>
  <c r="G49" i="39"/>
  <c r="G41" i="39"/>
  <c r="G33" i="39"/>
  <c r="G25" i="39"/>
  <c r="G59" i="39"/>
  <c r="G45" i="39"/>
  <c r="G30" i="39"/>
  <c r="G27" i="39"/>
  <c r="G54" i="39"/>
  <c r="G51" i="39"/>
  <c r="G37" i="39"/>
  <c r="G22" i="39"/>
  <c r="G19" i="39"/>
  <c r="G46" i="39"/>
  <c r="G43" i="39"/>
  <c r="G29" i="39"/>
  <c r="G53" i="39"/>
  <c r="G38" i="39"/>
  <c r="G35" i="39"/>
  <c r="G21" i="39"/>
  <c r="G74" i="39" l="1"/>
  <c r="K51" i="6" l="1"/>
  <c r="E51" i="6"/>
  <c r="J45" i="6"/>
  <c r="K45" i="6" s="1"/>
  <c r="E111" i="30" l="1"/>
  <c r="E47" i="9" l="1"/>
  <c r="E48" i="9"/>
  <c r="E46" i="9"/>
  <c r="E40" i="9"/>
  <c r="D73" i="6" l="1"/>
  <c r="F37" i="53" l="1"/>
  <c r="D37" i="53"/>
  <c r="H35" i="53"/>
  <c r="L32" i="53"/>
  <c r="N32" i="53" s="1"/>
  <c r="H32" i="53"/>
  <c r="J30" i="53"/>
  <c r="H30" i="53"/>
  <c r="F25" i="53"/>
  <c r="D23" i="53"/>
  <c r="H23" i="53" s="1"/>
  <c r="L19" i="53"/>
  <c r="N19" i="53" s="1"/>
  <c r="H19" i="53"/>
  <c r="L17" i="53"/>
  <c r="N17" i="53" s="1"/>
  <c r="H17" i="53"/>
  <c r="A17" i="53"/>
  <c r="A19" i="53" s="1"/>
  <c r="A21" i="53" s="1"/>
  <c r="A22" i="53" s="1"/>
  <c r="A23" i="53" s="1"/>
  <c r="A25" i="53" s="1"/>
  <c r="A30" i="53" s="1"/>
  <c r="A32" i="53" s="1"/>
  <c r="A35" i="53" s="1"/>
  <c r="A37" i="53" s="1"/>
  <c r="J15" i="53"/>
  <c r="H15" i="53"/>
  <c r="D25" i="53" l="1"/>
  <c r="L30" i="53"/>
  <c r="L15" i="53"/>
  <c r="N15" i="53" s="1"/>
  <c r="J23" i="53"/>
  <c r="L23" i="53" s="1"/>
  <c r="J35" i="53"/>
  <c r="L35" i="53" s="1"/>
  <c r="N35" i="53" s="1"/>
  <c r="L25" i="53" l="1"/>
  <c r="L37" i="53"/>
  <c r="N30" i="53"/>
  <c r="N37" i="53" s="1"/>
  <c r="J37" i="53"/>
  <c r="N23" i="53"/>
  <c r="N25" i="53" s="1"/>
  <c r="J25" i="53"/>
  <c r="D105" i="38"/>
  <c r="C105" i="38"/>
  <c r="D66" i="39"/>
  <c r="C66" i="39"/>
  <c r="D63" i="39"/>
  <c r="C63" i="39"/>
  <c r="G105" i="38" l="1"/>
  <c r="G66" i="39"/>
  <c r="G63" i="39"/>
  <c r="K48" i="38" l="1"/>
  <c r="J48" i="38"/>
  <c r="I48" i="38"/>
  <c r="D48" i="38"/>
  <c r="F49" i="38" s="1"/>
  <c r="D49" i="38" s="1"/>
  <c r="C48" i="38"/>
  <c r="K100" i="38"/>
  <c r="J100" i="38"/>
  <c r="I100" i="38"/>
  <c r="D100" i="38"/>
  <c r="F101" i="38" s="1"/>
  <c r="D101" i="38" s="1"/>
  <c r="C100" i="38"/>
  <c r="C60" i="39"/>
  <c r="E61" i="39" s="1"/>
  <c r="C61" i="39" s="1"/>
  <c r="G100" i="38" l="1"/>
  <c r="G48" i="38"/>
  <c r="E49" i="38"/>
  <c r="E101" i="38"/>
  <c r="C101" i="38" s="1"/>
  <c r="G101" i="38" s="1"/>
  <c r="G49" i="38" l="1"/>
  <c r="C49" i="38"/>
  <c r="D106" i="38" l="1"/>
  <c r="C106" i="38"/>
  <c r="D53" i="38"/>
  <c r="C53" i="38"/>
  <c r="D67" i="39"/>
  <c r="C67" i="39"/>
  <c r="G67" i="39" l="1"/>
  <c r="G53" i="38"/>
  <c r="G106" i="38"/>
  <c r="I47" i="6"/>
  <c r="I41" i="6"/>
  <c r="E45" i="9" l="1"/>
  <c r="E67" i="9"/>
  <c r="E66" i="9"/>
  <c r="E65" i="9"/>
  <c r="E41" i="9"/>
  <c r="O110" i="38"/>
  <c r="O116" i="38" s="1"/>
  <c r="N110" i="38"/>
  <c r="N116" i="38" s="1"/>
  <c r="M110" i="38"/>
  <c r="M116" i="38" s="1"/>
  <c r="O57" i="38"/>
  <c r="N57" i="38"/>
  <c r="M57" i="38"/>
  <c r="O23" i="38"/>
  <c r="N23" i="38"/>
  <c r="M23" i="38"/>
  <c r="G27" i="5" l="1"/>
  <c r="G25" i="5"/>
  <c r="G33" i="5"/>
  <c r="H251" i="2"/>
  <c r="L46" i="2" l="1"/>
  <c r="L45" i="2"/>
  <c r="F86" i="35" l="1"/>
  <c r="I39" i="52" l="1"/>
  <c r="E39" i="52"/>
  <c r="I38" i="52"/>
  <c r="E38" i="52"/>
  <c r="I37" i="52"/>
  <c r="E37" i="52"/>
  <c r="I36" i="52"/>
  <c r="E36" i="52"/>
  <c r="I35" i="52"/>
  <c r="E35" i="52"/>
  <c r="I34" i="52"/>
  <c r="E34" i="52"/>
  <c r="I33" i="52"/>
  <c r="E33" i="52"/>
  <c r="I32" i="52"/>
  <c r="E32" i="52"/>
  <c r="I31" i="52"/>
  <c r="E31" i="52"/>
  <c r="I27" i="52"/>
  <c r="E27" i="52"/>
  <c r="I26" i="52"/>
  <c r="E26" i="52"/>
  <c r="I25" i="52"/>
  <c r="E25" i="52"/>
  <c r="I24" i="52"/>
  <c r="E24" i="52"/>
  <c r="I23" i="52"/>
  <c r="E23" i="52"/>
  <c r="I22" i="52"/>
  <c r="E22" i="52"/>
  <c r="I21" i="52"/>
  <c r="E21" i="52"/>
  <c r="I20" i="52"/>
  <c r="E20" i="52"/>
  <c r="I19" i="52"/>
  <c r="E19" i="52"/>
  <c r="K20" i="52" l="1"/>
  <c r="K35" i="52"/>
  <c r="K22" i="52"/>
  <c r="K38" i="52"/>
  <c r="K23" i="52"/>
  <c r="K27" i="52"/>
  <c r="K34" i="52"/>
  <c r="K39" i="52"/>
  <c r="K26" i="52"/>
  <c r="K19" i="52"/>
  <c r="K31" i="52"/>
  <c r="K21" i="52"/>
  <c r="K25" i="52"/>
  <c r="K32" i="52"/>
  <c r="K33" i="52"/>
  <c r="K37" i="52"/>
  <c r="K24" i="52"/>
  <c r="K36" i="52"/>
  <c r="G44" i="48"/>
  <c r="E68" i="9" l="1"/>
  <c r="A8" i="50" l="1"/>
  <c r="A8" i="49"/>
  <c r="F15" i="50"/>
  <c r="F15" i="49"/>
  <c r="B39" i="50"/>
  <c r="B40" i="50" s="1"/>
  <c r="B41" i="50" s="1"/>
  <c r="B42" i="50" s="1"/>
  <c r="B43" i="50" s="1"/>
  <c r="B44" i="50" s="1"/>
  <c r="B45" i="50" s="1"/>
  <c r="B46" i="50" s="1"/>
  <c r="B47" i="50" s="1"/>
  <c r="B48" i="50" s="1"/>
  <c r="B49" i="50" s="1"/>
  <c r="B50" i="50" s="1"/>
  <c r="B36" i="50"/>
  <c r="B21" i="50"/>
  <c r="B22" i="50" s="1"/>
  <c r="B23" i="50" s="1"/>
  <c r="B24" i="50" s="1"/>
  <c r="B25" i="50" s="1"/>
  <c r="B26" i="50" s="1"/>
  <c r="B27" i="50" s="1"/>
  <c r="B28" i="50" s="1"/>
  <c r="B29" i="50" s="1"/>
  <c r="B30" i="50" s="1"/>
  <c r="B31" i="50" s="1"/>
  <c r="B32" i="50" s="1"/>
  <c r="B39" i="49"/>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B39" i="47"/>
  <c r="B40" i="47" s="1"/>
  <c r="B41" i="47" s="1"/>
  <c r="B42" i="47" s="1"/>
  <c r="B43" i="47" s="1"/>
  <c r="B44" i="47" s="1"/>
  <c r="B45" i="47" s="1"/>
  <c r="B46" i="47" s="1"/>
  <c r="B47" i="47" s="1"/>
  <c r="B48" i="47" s="1"/>
  <c r="B49" i="47" s="1"/>
  <c r="B50" i="47" s="1"/>
  <c r="B36" i="47"/>
  <c r="B21" i="47"/>
  <c r="B22" i="47" s="1"/>
  <c r="B23" i="47" s="1"/>
  <c r="B24" i="47" s="1"/>
  <c r="B25" i="47" s="1"/>
  <c r="B26" i="47" s="1"/>
  <c r="B27" i="47" s="1"/>
  <c r="B28" i="47" s="1"/>
  <c r="B29" i="47" s="1"/>
  <c r="B30" i="47" s="1"/>
  <c r="B31" i="47" s="1"/>
  <c r="B32" i="47" s="1"/>
  <c r="A8" i="47"/>
  <c r="A29" i="38" l="1"/>
  <c r="A30" i="38" s="1"/>
  <c r="A31" i="38" s="1"/>
  <c r="A32" i="38" s="1"/>
  <c r="E15" i="30"/>
  <c r="A33" i="38" l="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E75" i="30"/>
  <c r="E80" i="30"/>
  <c r="F68" i="51" l="1"/>
  <c r="B68" i="51"/>
  <c r="F39" i="51"/>
  <c r="B39" i="51"/>
  <c r="D42" i="9" l="1"/>
  <c r="G162" i="2" s="1"/>
  <c r="E39" i="9"/>
  <c r="F10" i="10" l="1"/>
  <c r="F14" i="10"/>
  <c r="F18" i="10"/>
  <c r="C64" i="39" l="1"/>
  <c r="D64" i="39"/>
  <c r="C65" i="39"/>
  <c r="D65" i="39"/>
  <c r="C68" i="39"/>
  <c r="D68" i="39"/>
  <c r="D62" i="39"/>
  <c r="C62" i="39"/>
  <c r="G42" i="5" l="1"/>
  <c r="E42" i="5"/>
  <c r="E18" i="5"/>
  <c r="G18" i="5"/>
  <c r="D114" i="38"/>
  <c r="C114" i="38"/>
  <c r="C103" i="38"/>
  <c r="D103" i="38"/>
  <c r="C104" i="38"/>
  <c r="D104" i="38"/>
  <c r="D102" i="38"/>
  <c r="C102" i="38"/>
  <c r="G26" i="5"/>
  <c r="C51" i="38"/>
  <c r="D51" i="38"/>
  <c r="C54" i="38"/>
  <c r="D54" i="38"/>
  <c r="D50" i="38"/>
  <c r="C50" i="38"/>
  <c r="D21" i="38"/>
  <c r="C21" i="38"/>
  <c r="G102" i="38" l="1"/>
  <c r="G34" i="5"/>
  <c r="G35" i="5"/>
  <c r="G104" i="38"/>
  <c r="E34" i="5"/>
  <c r="G103" i="38"/>
  <c r="E26" i="5"/>
  <c r="J49" i="6" l="1"/>
  <c r="F31" i="10" l="1"/>
  <c r="F26" i="10"/>
  <c r="F22" i="10"/>
  <c r="K49" i="6"/>
  <c r="E49" i="6" s="1"/>
  <c r="G160" i="2"/>
  <c r="D100" i="20"/>
  <c r="C100" i="20"/>
  <c r="C101" i="20" s="1"/>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K95" i="20"/>
  <c r="I94" i="20"/>
  <c r="O81" i="20"/>
  <c r="N81" i="20"/>
  <c r="G22" i="50"/>
  <c r="G23" i="50" s="1"/>
  <c r="G24" i="50" s="1"/>
  <c r="G25" i="50" s="1"/>
  <c r="G26" i="50" s="1"/>
  <c r="G27" i="50" s="1"/>
  <c r="G28" i="50" s="1"/>
  <c r="G29" i="50" s="1"/>
  <c r="G30" i="50" s="1"/>
  <c r="G31" i="50" s="1"/>
  <c r="G32" i="50" s="1"/>
  <c r="F21" i="50"/>
  <c r="F22" i="50" s="1"/>
  <c r="F23" i="50" s="1"/>
  <c r="F24" i="50" s="1"/>
  <c r="F25" i="50" s="1"/>
  <c r="H10" i="50"/>
  <c r="D21" i="50" s="1"/>
  <c r="D22" i="50" s="1"/>
  <c r="F10" i="50"/>
  <c r="B10" i="50"/>
  <c r="G22" i="49"/>
  <c r="G23" i="49" s="1"/>
  <c r="G24" i="49" s="1"/>
  <c r="G25" i="49" s="1"/>
  <c r="G26" i="49" s="1"/>
  <c r="G27" i="49" s="1"/>
  <c r="G28" i="49" s="1"/>
  <c r="G29" i="49" s="1"/>
  <c r="G30" i="49" s="1"/>
  <c r="G31" i="49" s="1"/>
  <c r="G32" i="49" s="1"/>
  <c r="F21" i="49"/>
  <c r="F22" i="49" s="1"/>
  <c r="F23" i="49" s="1"/>
  <c r="F24" i="49" s="1"/>
  <c r="F25" i="49" s="1"/>
  <c r="F26" i="49" s="1"/>
  <c r="F27" i="49" s="1"/>
  <c r="F28" i="49" s="1"/>
  <c r="F29" i="49" s="1"/>
  <c r="F30" i="49" s="1"/>
  <c r="F31" i="49" s="1"/>
  <c r="H10" i="49"/>
  <c r="D21" i="49" s="1"/>
  <c r="F10" i="49"/>
  <c r="B10" i="49"/>
  <c r="G22" i="47"/>
  <c r="G23" i="47" s="1"/>
  <c r="G24" i="47" s="1"/>
  <c r="G25" i="47" s="1"/>
  <c r="G26" i="47" s="1"/>
  <c r="G27" i="47" s="1"/>
  <c r="G28" i="47" s="1"/>
  <c r="G29" i="47" s="1"/>
  <c r="G30" i="47" s="1"/>
  <c r="G31" i="47" s="1"/>
  <c r="G32" i="47" s="1"/>
  <c r="F21" i="47"/>
  <c r="F22" i="47" s="1"/>
  <c r="F23" i="47" s="1"/>
  <c r="F24" i="47" s="1"/>
  <c r="H10" i="47"/>
  <c r="D21" i="47" s="1"/>
  <c r="D22" i="47" s="1"/>
  <c r="D23" i="47" s="1"/>
  <c r="F10" i="47"/>
  <c r="B10" i="47"/>
  <c r="M52" i="11"/>
  <c r="C48" i="11"/>
  <c r="K46" i="6"/>
  <c r="E46" i="6" s="1"/>
  <c r="K43" i="6"/>
  <c r="E43" i="6" s="1"/>
  <c r="G42" i="41"/>
  <c r="F42" i="41"/>
  <c r="E42" i="41"/>
  <c r="D42" i="41"/>
  <c r="C42" i="41"/>
  <c r="F23" i="41"/>
  <c r="L267" i="2" s="1"/>
  <c r="E23" i="41"/>
  <c r="L266" i="2" s="1"/>
  <c r="D23" i="41"/>
  <c r="L265" i="2" s="1"/>
  <c r="F62" i="35"/>
  <c r="E62" i="35"/>
  <c r="L235" i="2" s="1"/>
  <c r="D62" i="35"/>
  <c r="C62" i="35"/>
  <c r="L236" i="2" s="1"/>
  <c r="K42" i="35"/>
  <c r="G88" i="2" s="1"/>
  <c r="J42" i="35"/>
  <c r="G87" i="2" s="1"/>
  <c r="I42" i="35"/>
  <c r="G86" i="2" s="1"/>
  <c r="H42" i="35"/>
  <c r="G85" i="2" s="1"/>
  <c r="L85" i="2" s="1"/>
  <c r="G42" i="35"/>
  <c r="G84" i="2" s="1"/>
  <c r="L84" i="2" s="1"/>
  <c r="F42" i="35"/>
  <c r="G83" i="2" s="1"/>
  <c r="E42" i="35"/>
  <c r="G82" i="2" s="1"/>
  <c r="D42" i="35"/>
  <c r="G81" i="2" s="1"/>
  <c r="C42" i="35"/>
  <c r="G80" i="2" s="1"/>
  <c r="K23" i="35"/>
  <c r="G74" i="2" s="1"/>
  <c r="J23" i="35"/>
  <c r="G73" i="2" s="1"/>
  <c r="I23" i="35"/>
  <c r="G72" i="2" s="1"/>
  <c r="H23" i="35"/>
  <c r="G71" i="2" s="1"/>
  <c r="G23" i="35"/>
  <c r="G70" i="2" s="1"/>
  <c r="L70" i="2" s="1"/>
  <c r="F23" i="35"/>
  <c r="G69" i="2" s="1"/>
  <c r="E23" i="35"/>
  <c r="G68" i="2" s="1"/>
  <c r="L234" i="2" s="1"/>
  <c r="F17" i="48"/>
  <c r="B14" i="48"/>
  <c r="A6" i="48"/>
  <c r="K41" i="48"/>
  <c r="K37" i="48"/>
  <c r="E28" i="48"/>
  <c r="A23" i="48"/>
  <c r="A24" i="48" s="1"/>
  <c r="A25" i="48" s="1"/>
  <c r="A26" i="48" s="1"/>
  <c r="A27" i="48" s="1"/>
  <c r="B28" i="48" s="1"/>
  <c r="E20" i="48"/>
  <c r="A4" i="48"/>
  <c r="C63" i="41"/>
  <c r="B48" i="41"/>
  <c r="I32" i="30"/>
  <c r="A6" i="11"/>
  <c r="A4" i="41"/>
  <c r="A6" i="13"/>
  <c r="A6" i="20"/>
  <c r="A6" i="10"/>
  <c r="A6" i="9"/>
  <c r="A6" i="8"/>
  <c r="B36" i="8" s="1"/>
  <c r="A6" i="7"/>
  <c r="B26" i="7" s="1"/>
  <c r="A6" i="6"/>
  <c r="B1" i="39"/>
  <c r="B1" i="38"/>
  <c r="A6" i="5"/>
  <c r="A4" i="35"/>
  <c r="B3" i="39"/>
  <c r="Q10" i="39"/>
  <c r="Q10" i="38"/>
  <c r="M10" i="39"/>
  <c r="M10" i="38"/>
  <c r="F13" i="39"/>
  <c r="E13" i="39"/>
  <c r="E13" i="38"/>
  <c r="D13" i="39"/>
  <c r="D13" i="38"/>
  <c r="C13" i="39"/>
  <c r="C13" i="38"/>
  <c r="M73" i="39"/>
  <c r="D43" i="5"/>
  <c r="D42" i="5"/>
  <c r="D27" i="5"/>
  <c r="D19" i="5"/>
  <c r="F87" i="35"/>
  <c r="F85" i="35"/>
  <c r="S110" i="38"/>
  <c r="S116" i="38" s="1"/>
  <c r="R110" i="38"/>
  <c r="R116" i="38" s="1"/>
  <c r="Q110" i="38"/>
  <c r="Q116" i="38" s="1"/>
  <c r="S57" i="38"/>
  <c r="R57" i="38"/>
  <c r="Q57" i="38"/>
  <c r="F13" i="38"/>
  <c r="B3" i="38"/>
  <c r="A58" i="38"/>
  <c r="D26" i="5" s="1"/>
  <c r="A113" i="38"/>
  <c r="A116" i="38" s="1"/>
  <c r="D35" i="5" s="1"/>
  <c r="I42" i="5"/>
  <c r="S130" i="38"/>
  <c r="R130" i="38"/>
  <c r="E52" i="5" s="1"/>
  <c r="Q130" i="38"/>
  <c r="O130" i="38"/>
  <c r="N130" i="38"/>
  <c r="G52" i="5" s="1"/>
  <c r="M130" i="38"/>
  <c r="F130" i="38"/>
  <c r="E130" i="38"/>
  <c r="K128" i="38"/>
  <c r="J128" i="38"/>
  <c r="I128" i="38"/>
  <c r="D128" i="38"/>
  <c r="C128" i="38"/>
  <c r="K127" i="38"/>
  <c r="J127" i="38"/>
  <c r="I127" i="38"/>
  <c r="D127" i="38"/>
  <c r="C127" i="38"/>
  <c r="G114" i="38"/>
  <c r="K113" i="38"/>
  <c r="J113" i="38"/>
  <c r="I113" i="38"/>
  <c r="D113" i="38"/>
  <c r="C113" i="38"/>
  <c r="D107" i="38"/>
  <c r="C107" i="38"/>
  <c r="F57" i="38"/>
  <c r="S23" i="38"/>
  <c r="R23" i="38"/>
  <c r="Q23" i="38"/>
  <c r="G21" i="38"/>
  <c r="E23" i="38"/>
  <c r="K17" i="38"/>
  <c r="K23" i="38" s="1"/>
  <c r="J17" i="38"/>
  <c r="J23" i="38" s="1"/>
  <c r="I17" i="38"/>
  <c r="I23" i="38" s="1"/>
  <c r="D17" i="38"/>
  <c r="D23" i="38" s="1"/>
  <c r="C17" i="38"/>
  <c r="C23" i="38" s="1"/>
  <c r="A24" i="38"/>
  <c r="D18" i="5" s="1"/>
  <c r="Q27" i="21"/>
  <c r="Q22" i="21"/>
  <c r="Q17" i="21"/>
  <c r="A2" i="41"/>
  <c r="A11" i="41"/>
  <c r="A12" i="41" s="1"/>
  <c r="A13" i="41" s="1"/>
  <c r="A14" i="41" s="1"/>
  <c r="A15" i="41" s="1"/>
  <c r="A16" i="41" s="1"/>
  <c r="A17" i="41" s="1"/>
  <c r="A18" i="41" s="1"/>
  <c r="A19" i="41" s="1"/>
  <c r="A20" i="41" s="1"/>
  <c r="A21" i="41" s="1"/>
  <c r="A22" i="41" s="1"/>
  <c r="A23" i="41" s="1"/>
  <c r="A29" i="41" s="1"/>
  <c r="A30" i="41" s="1"/>
  <c r="A31" i="41" s="1"/>
  <c r="A32" i="41" s="1"/>
  <c r="A33" i="41" s="1"/>
  <c r="A34" i="41" s="1"/>
  <c r="A35" i="41" s="1"/>
  <c r="A36" i="41" s="1"/>
  <c r="A37" i="41" s="1"/>
  <c r="A38" i="41" s="1"/>
  <c r="A39" i="41" s="1"/>
  <c r="A40" i="41" s="1"/>
  <c r="A41" i="41" s="1"/>
  <c r="A42" i="41" s="1"/>
  <c r="H29" i="41"/>
  <c r="H31" i="41"/>
  <c r="H33" i="41"/>
  <c r="H35" i="41"/>
  <c r="H37" i="41"/>
  <c r="H39" i="41"/>
  <c r="H41" i="41"/>
  <c r="E64" i="41"/>
  <c r="E65" i="41"/>
  <c r="E66" i="41"/>
  <c r="E67" i="41"/>
  <c r="E68" i="41"/>
  <c r="E69" i="41"/>
  <c r="E70" i="41"/>
  <c r="E71" i="41"/>
  <c r="E72" i="41"/>
  <c r="F73" i="41"/>
  <c r="C74" i="41"/>
  <c r="E50" i="41" s="1"/>
  <c r="D74" i="41"/>
  <c r="B85" i="41"/>
  <c r="B86" i="41"/>
  <c r="B87" i="41"/>
  <c r="C88" i="41"/>
  <c r="C89" i="41" s="1"/>
  <c r="D88" i="41"/>
  <c r="D89" i="41" s="1"/>
  <c r="B91" i="41"/>
  <c r="B92" i="41"/>
  <c r="B93" i="41"/>
  <c r="C94" i="41"/>
  <c r="C95" i="41" s="1"/>
  <c r="D94" i="41"/>
  <c r="B97" i="41"/>
  <c r="B98" i="41"/>
  <c r="B99" i="41"/>
  <c r="C100" i="41"/>
  <c r="C101" i="41" s="1"/>
  <c r="D100" i="41"/>
  <c r="D101" i="41" s="1"/>
  <c r="H40" i="41"/>
  <c r="H38" i="41"/>
  <c r="H36" i="41"/>
  <c r="H34" i="41"/>
  <c r="H32" i="41"/>
  <c r="H30" i="41"/>
  <c r="E115" i="2"/>
  <c r="E88" i="35"/>
  <c r="D88" i="35"/>
  <c r="E67" i="35"/>
  <c r="F67" i="35"/>
  <c r="D67" i="35"/>
  <c r="A69" i="35"/>
  <c r="A71" i="35" s="1"/>
  <c r="A75" i="35" s="1"/>
  <c r="A76" i="35" s="1"/>
  <c r="A77" i="35" s="1"/>
  <c r="A78" i="35" s="1"/>
  <c r="A79" i="35" s="1"/>
  <c r="A80" i="35" s="1"/>
  <c r="E80" i="35"/>
  <c r="D80" i="35"/>
  <c r="F79" i="35"/>
  <c r="F78" i="35"/>
  <c r="F77" i="35"/>
  <c r="F76" i="35"/>
  <c r="F75" i="35"/>
  <c r="F71" i="35"/>
  <c r="L111" i="2" s="1"/>
  <c r="F69" i="35"/>
  <c r="G111" i="2" s="1"/>
  <c r="A11" i="35"/>
  <c r="A12" i="35" s="1"/>
  <c r="A13" i="35" s="1"/>
  <c r="A14" i="35" s="1"/>
  <c r="A15" i="35" s="1"/>
  <c r="A16" i="35" s="1"/>
  <c r="A17" i="35" s="1"/>
  <c r="A18" i="35" s="1"/>
  <c r="A19" i="35" s="1"/>
  <c r="A20" i="35" s="1"/>
  <c r="A21" i="35" s="1"/>
  <c r="A22" i="35" s="1"/>
  <c r="A23" i="35" s="1"/>
  <c r="A2" i="35"/>
  <c r="I53" i="30"/>
  <c r="I52" i="30"/>
  <c r="I49" i="30"/>
  <c r="I48" i="30"/>
  <c r="I47" i="30"/>
  <c r="I46" i="30"/>
  <c r="I42" i="30"/>
  <c r="I41" i="30"/>
  <c r="I40" i="30"/>
  <c r="I39" i="30"/>
  <c r="I38" i="30"/>
  <c r="I37" i="30"/>
  <c r="I36" i="30"/>
  <c r="I35" i="30"/>
  <c r="B21" i="7"/>
  <c r="K27" i="8"/>
  <c r="K31" i="8" s="1"/>
  <c r="G15" i="2" s="1"/>
  <c r="L15" i="2" s="1"/>
  <c r="I27" i="8"/>
  <c r="I31" i="8" s="1"/>
  <c r="B11" i="7"/>
  <c r="E63" i="30"/>
  <c r="E25" i="11" s="1"/>
  <c r="I25" i="11" s="1"/>
  <c r="D33" i="9"/>
  <c r="G152" i="2" s="1"/>
  <c r="O83" i="13"/>
  <c r="P83" i="13"/>
  <c r="J21" i="8"/>
  <c r="J19" i="8"/>
  <c r="J17" i="8"/>
  <c r="J15" i="8"/>
  <c r="J13" i="8"/>
  <c r="L89" i="13"/>
  <c r="L97" i="13"/>
  <c r="C102" i="13"/>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D102"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2" i="13"/>
  <c r="O132"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M145" i="13"/>
  <c r="O145" i="13"/>
  <c r="M146" i="13"/>
  <c r="O146" i="13"/>
  <c r="M147" i="13"/>
  <c r="O147" i="13"/>
  <c r="M148" i="13"/>
  <c r="O148" i="13"/>
  <c r="M149" i="13"/>
  <c r="O149" i="13"/>
  <c r="M150" i="13"/>
  <c r="O150" i="13"/>
  <c r="M151" i="13"/>
  <c r="O151" i="13"/>
  <c r="M152" i="13"/>
  <c r="O152" i="13"/>
  <c r="M153" i="13"/>
  <c r="O153" i="13"/>
  <c r="M154" i="13"/>
  <c r="O154" i="13"/>
  <c r="M155" i="13"/>
  <c r="O155" i="13"/>
  <c r="M156" i="13"/>
  <c r="O156" i="13"/>
  <c r="M157" i="13"/>
  <c r="O157" i="13"/>
  <c r="M158" i="13"/>
  <c r="O158" i="13"/>
  <c r="M159" i="13"/>
  <c r="O159" i="13"/>
  <c r="M160" i="13"/>
  <c r="O160" i="13"/>
  <c r="M161" i="13"/>
  <c r="O161" i="13"/>
  <c r="A6" i="30"/>
  <c r="E108" i="30"/>
  <c r="E38" i="11" s="1"/>
  <c r="M38" i="11" s="1"/>
  <c r="E101" i="30"/>
  <c r="E36" i="11" s="1"/>
  <c r="K36" i="11" s="1"/>
  <c r="E84" i="30"/>
  <c r="E34" i="11" s="1"/>
  <c r="K34" i="11" s="1"/>
  <c r="E32" i="11"/>
  <c r="M32" i="11" s="1"/>
  <c r="E65" i="30"/>
  <c r="E26" i="11" s="1"/>
  <c r="I26" i="11" s="1"/>
  <c r="E50" i="30"/>
  <c r="E21" i="11" s="1"/>
  <c r="G21" i="11" s="1"/>
  <c r="D62" i="9"/>
  <c r="G163" i="2" s="1"/>
  <c r="D21" i="9"/>
  <c r="G154" i="2" s="1"/>
  <c r="E44" i="6"/>
  <c r="D311" i="2"/>
  <c r="L26" i="20"/>
  <c r="A4" i="21"/>
  <c r="A4" i="30"/>
  <c r="A4" i="11"/>
  <c r="A4" i="10"/>
  <c r="A4" i="9"/>
  <c r="A4" i="8"/>
  <c r="A4" i="7"/>
  <c r="A4" i="6"/>
  <c r="A4" i="5"/>
  <c r="F7" i="2"/>
  <c r="F56" i="2" s="1"/>
  <c r="F136" i="2" s="1"/>
  <c r="F226" i="2" s="1"/>
  <c r="F280" i="2" s="1"/>
  <c r="F16" i="13"/>
  <c r="F18" i="13" s="1"/>
  <c r="E23" i="13" s="1"/>
  <c r="F16" i="20"/>
  <c r="F18" i="20" s="1"/>
  <c r="E23" i="20" s="1"/>
  <c r="L18" i="2"/>
  <c r="B13" i="2"/>
  <c r="C47" i="13" s="1"/>
  <c r="D53" i="6"/>
  <c r="D31" i="6" s="1"/>
  <c r="O8" i="20"/>
  <c r="E38" i="9"/>
  <c r="E37" i="9"/>
  <c r="E44" i="30"/>
  <c r="E71" i="30"/>
  <c r="E29" i="11" s="1"/>
  <c r="M29" i="11" s="1"/>
  <c r="L249" i="2"/>
  <c r="L251" i="2"/>
  <c r="L253" i="2"/>
  <c r="L254" i="2"/>
  <c r="F255" i="2"/>
  <c r="G255" i="2"/>
  <c r="K41" i="6"/>
  <c r="E41" i="6" s="1"/>
  <c r="K42" i="6"/>
  <c r="E45" i="6"/>
  <c r="C21" i="7"/>
  <c r="C23" i="7" s="1"/>
  <c r="G129" i="2" s="1"/>
  <c r="L129" i="2" s="1"/>
  <c r="E61" i="30"/>
  <c r="E24" i="11" s="1"/>
  <c r="I24" i="11" s="1"/>
  <c r="E33" i="30"/>
  <c r="E104" i="30"/>
  <c r="E37" i="11" s="1"/>
  <c r="M37" i="11" s="1"/>
  <c r="E39" i="11"/>
  <c r="M39" i="11" s="1"/>
  <c r="E33" i="11"/>
  <c r="K33" i="11" s="1"/>
  <c r="E94" i="30"/>
  <c r="E35" i="11" s="1"/>
  <c r="K35" i="11" s="1"/>
  <c r="F62" i="9"/>
  <c r="G169" i="2" s="1"/>
  <c r="F71" i="9"/>
  <c r="G170" i="2" s="1"/>
  <c r="L170" i="2" s="1"/>
  <c r="O17" i="21"/>
  <c r="O22" i="21"/>
  <c r="O27" i="21"/>
  <c r="I17" i="6"/>
  <c r="G119" i="2" s="1"/>
  <c r="I21" i="6"/>
  <c r="G121" i="2" s="1"/>
  <c r="I23" i="6"/>
  <c r="G122" i="2" s="1"/>
  <c r="D71" i="9"/>
  <c r="G164" i="2" s="1"/>
  <c r="A24" i="9"/>
  <c r="A25" i="9" s="1"/>
  <c r="A26" i="9" s="1"/>
  <c r="A27" i="9" s="1"/>
  <c r="A28" i="9" s="1"/>
  <c r="A29" i="9" s="1"/>
  <c r="A30" i="9" s="1"/>
  <c r="A31" i="9" s="1"/>
  <c r="A32" i="9" s="1"/>
  <c r="A33" i="9" s="1"/>
  <c r="A15" i="7"/>
  <c r="A17" i="7" s="1"/>
  <c r="A18" i="7" s="1"/>
  <c r="A19" i="7" s="1"/>
  <c r="A21" i="7" s="1"/>
  <c r="A23" i="7" s="1"/>
  <c r="A17" i="6"/>
  <c r="A21" i="6" s="1"/>
  <c r="A23" i="6" s="1"/>
  <c r="A29" i="6" s="1"/>
  <c r="A31" i="6" s="1"/>
  <c r="A32" i="6" s="1"/>
  <c r="A33" i="6" s="1"/>
  <c r="A39" i="6" s="1"/>
  <c r="A41" i="6" s="1"/>
  <c r="K50" i="6"/>
  <c r="E50" i="6" s="1"/>
  <c r="A15" i="30"/>
  <c r="A25" i="30" s="1"/>
  <c r="A27" i="30" s="1"/>
  <c r="A33" i="30" s="1"/>
  <c r="A44" i="30" s="1"/>
  <c r="A51" i="30" s="1"/>
  <c r="A60" i="30" s="1"/>
  <c r="A61" i="30" s="1"/>
  <c r="A63" i="30" s="1"/>
  <c r="A65" i="30" s="1"/>
  <c r="A71" i="30" s="1"/>
  <c r="A72" i="30" s="1"/>
  <c r="A74" i="30" s="1"/>
  <c r="A75" i="30" s="1"/>
  <c r="A80" i="30" s="1"/>
  <c r="A84" i="30" s="1"/>
  <c r="A94" i="30" s="1"/>
  <c r="A101" i="30" s="1"/>
  <c r="A104" i="30" s="1"/>
  <c r="A108" i="30" s="1"/>
  <c r="A111" i="30" s="1"/>
  <c r="A116" i="30" s="1"/>
  <c r="G215" i="2"/>
  <c r="A17" i="11"/>
  <c r="A19" i="11" s="1"/>
  <c r="A20" i="11" s="1"/>
  <c r="A21" i="11" s="1"/>
  <c r="A23" i="11" s="1"/>
  <c r="A24" i="11" s="1"/>
  <c r="A25" i="11" s="1"/>
  <c r="A26" i="11" s="1"/>
  <c r="A28" i="11" s="1"/>
  <c r="A29" i="11" s="1"/>
  <c r="A31" i="11" s="1"/>
  <c r="A32" i="11" s="1"/>
  <c r="A33" i="11" s="1"/>
  <c r="A34" i="11" s="1"/>
  <c r="A35" i="11" s="1"/>
  <c r="A36" i="11" s="1"/>
  <c r="A37" i="11" s="1"/>
  <c r="A38" i="11" s="1"/>
  <c r="A39" i="11" s="1"/>
  <c r="A40" i="11" s="1"/>
  <c r="A41" i="11" s="1"/>
  <c r="E191" i="2" s="1"/>
  <c r="D32" i="6"/>
  <c r="I50" i="5"/>
  <c r="J29" i="8"/>
  <c r="A4" i="13"/>
  <c r="A4" i="20"/>
  <c r="C60" i="13"/>
  <c r="L180" i="2"/>
  <c r="G167" i="2"/>
  <c r="K33" i="21"/>
  <c r="A22" i="21"/>
  <c r="A27" i="21" s="1"/>
  <c r="A33" i="21" s="1"/>
  <c r="D217" i="2" s="1"/>
  <c r="L175" i="2"/>
  <c r="A6" i="21"/>
  <c r="D12" i="9"/>
  <c r="C32" i="6"/>
  <c r="I12" i="6"/>
  <c r="I10" i="5"/>
  <c r="C9" i="7"/>
  <c r="M23" i="13"/>
  <c r="M20" i="13"/>
  <c r="N8" i="20"/>
  <c r="C11" i="20"/>
  <c r="C14" i="20"/>
  <c r="C18" i="20"/>
  <c r="C26" i="20"/>
  <c r="C32" i="20"/>
  <c r="C42" i="20"/>
  <c r="C43" i="20"/>
  <c r="C53" i="20"/>
  <c r="C55" i="20"/>
  <c r="C58" i="20"/>
  <c r="C60" i="20"/>
  <c r="C62" i="20"/>
  <c r="C65" i="20"/>
  <c r="C66" i="20"/>
  <c r="C68" i="20"/>
  <c r="C69" i="20"/>
  <c r="C71" i="20"/>
  <c r="B6" i="14"/>
  <c r="H249" i="2"/>
  <c r="H250" i="2"/>
  <c r="D58" i="6"/>
  <c r="B56" i="6" s="1"/>
  <c r="G12" i="6"/>
  <c r="G10" i="5"/>
  <c r="B4" i="14"/>
  <c r="O8" i="13"/>
  <c r="P8" i="13"/>
  <c r="C11" i="13"/>
  <c r="C14" i="13"/>
  <c r="C18" i="13"/>
  <c r="C26" i="13"/>
  <c r="C32" i="13"/>
  <c r="C42" i="13"/>
  <c r="C43" i="13"/>
  <c r="C53" i="13"/>
  <c r="C55" i="13"/>
  <c r="C58" i="13"/>
  <c r="C62" i="13"/>
  <c r="C65" i="13"/>
  <c r="C66" i="13"/>
  <c r="C68" i="13"/>
  <c r="C69" i="13"/>
  <c r="C71" i="13"/>
  <c r="A4" i="12"/>
  <c r="A6" i="12"/>
  <c r="A3" i="6"/>
  <c r="A3" i="7" s="1"/>
  <c r="A15" i="8"/>
  <c r="A17" i="8" s="1"/>
  <c r="A19" i="8" s="1"/>
  <c r="A21" i="8" s="1"/>
  <c r="A27" i="8" s="1"/>
  <c r="A29" i="8" s="1"/>
  <c r="A31" i="8" s="1"/>
  <c r="A39" i="8" s="1"/>
  <c r="E12" i="6"/>
  <c r="C31" i="6"/>
  <c r="D38" i="6"/>
  <c r="B36" i="6" s="1"/>
  <c r="E10" i="5"/>
  <c r="A17" i="5"/>
  <c r="A18" i="5"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42" i="2"/>
  <c r="L142" i="2"/>
  <c r="E143" i="2"/>
  <c r="G143" i="2"/>
  <c r="I143" i="2"/>
  <c r="L143" i="2"/>
  <c r="G151" i="2"/>
  <c r="D181" i="2"/>
  <c r="H253" i="2"/>
  <c r="H254" i="2"/>
  <c r="O73" i="39"/>
  <c r="N73" i="39"/>
  <c r="G20" i="38"/>
  <c r="L179" i="2"/>
  <c r="E27" i="30"/>
  <c r="F116" i="30"/>
  <c r="G53" i="6"/>
  <c r="G31" i="6" s="1"/>
  <c r="I51" i="30"/>
  <c r="I45" i="30"/>
  <c r="I53" i="6"/>
  <c r="I31" i="6" s="1"/>
  <c r="G19" i="38"/>
  <c r="F23" i="38"/>
  <c r="K47" i="6"/>
  <c r="E47" i="6" s="1"/>
  <c r="I18" i="5"/>
  <c r="I26" i="5"/>
  <c r="G73" i="6"/>
  <c r="G32" i="6" s="1"/>
  <c r="G33" i="6" s="1"/>
  <c r="G125" i="2" s="1"/>
  <c r="I73" i="6"/>
  <c r="I32" i="6" s="1"/>
  <c r="J73" i="6"/>
  <c r="J32" i="6" s="1"/>
  <c r="E73" i="6"/>
  <c r="E32" i="6" s="1"/>
  <c r="F33" i="10" l="1"/>
  <c r="F356" i="2" s="1"/>
  <c r="G197" i="2" s="1"/>
  <c r="E70" i="2"/>
  <c r="E75" i="2"/>
  <c r="E76" i="2"/>
  <c r="G91" i="2"/>
  <c r="A42" i="6"/>
  <c r="A43" i="6" s="1"/>
  <c r="A44" i="6" s="1"/>
  <c r="A45" i="6" s="1"/>
  <c r="A46" i="6" s="1"/>
  <c r="A47" i="6" s="1"/>
  <c r="A48" i="6" s="1"/>
  <c r="A49" i="6" s="1"/>
  <c r="A50" i="6" s="1"/>
  <c r="G272" i="2"/>
  <c r="J272" i="2" s="1"/>
  <c r="L272" i="2" s="1"/>
  <c r="I54" i="47"/>
  <c r="A117" i="38"/>
  <c r="D34" i="5" s="1"/>
  <c r="A3" i="8"/>
  <c r="A114" i="38"/>
  <c r="I54" i="50"/>
  <c r="A28" i="48"/>
  <c r="A37" i="48" s="1"/>
  <c r="A39" i="48" s="1"/>
  <c r="E159" i="2" s="1"/>
  <c r="E111" i="2"/>
  <c r="G49" i="5"/>
  <c r="G51" i="5" s="1"/>
  <c r="E88" i="41"/>
  <c r="I54" i="49"/>
  <c r="I50" i="30"/>
  <c r="B23" i="7"/>
  <c r="D64" i="35"/>
  <c r="L82" i="2" s="1"/>
  <c r="E76" i="41"/>
  <c r="I44" i="30"/>
  <c r="G107" i="38"/>
  <c r="C132" i="13"/>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C156" i="13" s="1"/>
  <c r="C157" i="13" s="1"/>
  <c r="C158" i="13" s="1"/>
  <c r="C159" i="13" s="1"/>
  <c r="C160" i="13" s="1"/>
  <c r="C161" i="13" s="1"/>
  <c r="M90" i="13"/>
  <c r="N21" i="13" s="1"/>
  <c r="N90" i="13"/>
  <c r="O21" i="13" s="1"/>
  <c r="A36" i="9"/>
  <c r="A37" i="9" s="1"/>
  <c r="A38" i="9" s="1"/>
  <c r="E152" i="2"/>
  <c r="H21" i="49"/>
  <c r="K21" i="49" s="1"/>
  <c r="D22" i="49"/>
  <c r="D23" i="50"/>
  <c r="H23" i="50" s="1"/>
  <c r="H22" i="50"/>
  <c r="K22" i="50" s="1"/>
  <c r="E101" i="41"/>
  <c r="H22" i="47"/>
  <c r="K22" i="47" s="1"/>
  <c r="B15" i="2"/>
  <c r="C103" i="41"/>
  <c r="C105" i="41" s="1"/>
  <c r="E100" i="41"/>
  <c r="C47" i="20"/>
  <c r="H21" i="50"/>
  <c r="K21" i="50" s="1"/>
  <c r="C104" i="41"/>
  <c r="F80" i="35"/>
  <c r="G113" i="2" s="1"/>
  <c r="L113" i="2" s="1"/>
  <c r="E89" i="41"/>
  <c r="S17" i="21"/>
  <c r="O33" i="21"/>
  <c r="G217" i="2" s="1"/>
  <c r="S22" i="21"/>
  <c r="G43" i="5"/>
  <c r="G41" i="5"/>
  <c r="E35" i="5"/>
  <c r="E33" i="5"/>
  <c r="E25" i="5"/>
  <c r="E27" i="5"/>
  <c r="I52" i="5"/>
  <c r="L108" i="2" s="1"/>
  <c r="E49" i="5"/>
  <c r="E51" i="5" s="1"/>
  <c r="F88" i="35"/>
  <c r="G115" i="2" s="1"/>
  <c r="H21" i="47"/>
  <c r="K21" i="47" s="1"/>
  <c r="G128" i="38"/>
  <c r="C130" i="38"/>
  <c r="E17" i="5"/>
  <c r="E19" i="5"/>
  <c r="G19" i="5"/>
  <c r="G17" i="5"/>
  <c r="E17" i="11"/>
  <c r="M17" i="11" s="1"/>
  <c r="M41" i="11" s="1"/>
  <c r="G192" i="2" s="1"/>
  <c r="L192" i="2" s="1"/>
  <c r="E71" i="9"/>
  <c r="H255" i="2"/>
  <c r="G64" i="39"/>
  <c r="G68" i="39"/>
  <c r="G65" i="39"/>
  <c r="G62" i="39"/>
  <c r="J130" i="38"/>
  <c r="E110" i="38"/>
  <c r="E116" i="38" s="1"/>
  <c r="G51" i="38"/>
  <c r="I110" i="38"/>
  <c r="I116" i="38" s="1"/>
  <c r="G113" i="38"/>
  <c r="D130" i="38"/>
  <c r="K130" i="38"/>
  <c r="G50" i="38"/>
  <c r="G17" i="38"/>
  <c r="G23" i="38" s="1"/>
  <c r="J57" i="38"/>
  <c r="I57" i="38"/>
  <c r="G54" i="38"/>
  <c r="G98" i="2"/>
  <c r="G95" i="2"/>
  <c r="G46" i="11" s="1"/>
  <c r="G49" i="11" s="1"/>
  <c r="G51" i="11" s="1"/>
  <c r="G53" i="11" s="1"/>
  <c r="K41" i="11"/>
  <c r="G193" i="2" s="1"/>
  <c r="H42" i="41"/>
  <c r="G271" i="2" s="1"/>
  <c r="E62" i="9"/>
  <c r="L44" i="2"/>
  <c r="G155" i="2"/>
  <c r="G118" i="2" s="1"/>
  <c r="P155" i="13"/>
  <c r="P135" i="13"/>
  <c r="D33" i="6"/>
  <c r="I33" i="6"/>
  <c r="G124" i="2" s="1"/>
  <c r="K53" i="6"/>
  <c r="K31" i="6" s="1"/>
  <c r="E53" i="6"/>
  <c r="E31" i="6" s="1"/>
  <c r="E33" i="6" s="1"/>
  <c r="G126" i="2" s="1"/>
  <c r="L126" i="2" s="1"/>
  <c r="J27" i="8"/>
  <c r="J31" i="8" s="1"/>
  <c r="P149" i="13"/>
  <c r="P125" i="13"/>
  <c r="P158" i="13"/>
  <c r="P146" i="13"/>
  <c r="P142" i="13"/>
  <c r="P130" i="13"/>
  <c r="P122" i="13"/>
  <c r="P118" i="13"/>
  <c r="A48" i="41"/>
  <c r="A49" i="41" s="1"/>
  <c r="E73" i="39"/>
  <c r="E189" i="2"/>
  <c r="E193" i="2"/>
  <c r="A46" i="11"/>
  <c r="E192" i="2"/>
  <c r="F32" i="49"/>
  <c r="A19" i="5"/>
  <c r="A20" i="5" s="1"/>
  <c r="A23" i="5" s="1"/>
  <c r="A25" i="5" s="1"/>
  <c r="K110" i="38"/>
  <c r="K116" i="38" s="1"/>
  <c r="E73" i="2"/>
  <c r="E25" i="30"/>
  <c r="E116" i="30" s="1"/>
  <c r="E20" i="11"/>
  <c r="C73" i="39"/>
  <c r="F25" i="47"/>
  <c r="K57" i="38"/>
  <c r="F26" i="50"/>
  <c r="C57" i="38"/>
  <c r="J110" i="38"/>
  <c r="J116" i="38" s="1"/>
  <c r="F48" i="13"/>
  <c r="G48" i="20"/>
  <c r="E267" i="2"/>
  <c r="E266" i="2"/>
  <c r="E265" i="2"/>
  <c r="E264" i="2"/>
  <c r="C110" i="38"/>
  <c r="C116" i="38" s="1"/>
  <c r="E113" i="2"/>
  <c r="A84" i="35"/>
  <c r="D57" i="38"/>
  <c r="E57" i="38"/>
  <c r="D24" i="47"/>
  <c r="D25" i="47" s="1"/>
  <c r="D26" i="47" s="1"/>
  <c r="D27" i="47" s="1"/>
  <c r="D28" i="47" s="1"/>
  <c r="D29" i="47" s="1"/>
  <c r="D30" i="47" s="1"/>
  <c r="D31" i="47" s="1"/>
  <c r="D32" i="47" s="1"/>
  <c r="H23" i="47"/>
  <c r="K23" i="47" s="1"/>
  <c r="D110" i="38"/>
  <c r="D116" i="38" s="1"/>
  <c r="E69" i="2"/>
  <c r="E67" i="2"/>
  <c r="E66" i="2"/>
  <c r="E71" i="2"/>
  <c r="E72" i="2"/>
  <c r="E74" i="2"/>
  <c r="A29" i="35"/>
  <c r="A30" i="35" s="1"/>
  <c r="A31" i="35" s="1"/>
  <c r="A32" i="35" s="1"/>
  <c r="A33" i="35" s="1"/>
  <c r="A34" i="35" s="1"/>
  <c r="A35" i="35" s="1"/>
  <c r="A36" i="35" s="1"/>
  <c r="A37" i="35" s="1"/>
  <c r="A38" i="35" s="1"/>
  <c r="A39" i="35" s="1"/>
  <c r="A40" i="35" s="1"/>
  <c r="A41" i="35" s="1"/>
  <c r="A42" i="35" s="1"/>
  <c r="D103" i="41"/>
  <c r="D105" i="41" s="1"/>
  <c r="D95" i="41"/>
  <c r="K73" i="6"/>
  <c r="K32" i="6" s="1"/>
  <c r="E94" i="41"/>
  <c r="I130" i="38"/>
  <c r="I41" i="11"/>
  <c r="G189" i="2" s="1"/>
  <c r="F110" i="38"/>
  <c r="F116" i="38" s="1"/>
  <c r="G127" i="38"/>
  <c r="S27" i="21"/>
  <c r="J53" i="6"/>
  <c r="J31" i="6" s="1"/>
  <c r="J33" i="6" s="1"/>
  <c r="G123" i="2" s="1"/>
  <c r="P154" i="13"/>
  <c r="P160" i="13"/>
  <c r="P148" i="13"/>
  <c r="P128" i="13"/>
  <c r="P116" i="13"/>
  <c r="P152" i="13"/>
  <c r="P145" i="13"/>
  <c r="P141" i="13"/>
  <c r="P133" i="13"/>
  <c r="P129" i="13"/>
  <c r="P121" i="13"/>
  <c r="P159" i="13"/>
  <c r="P147" i="13"/>
  <c r="P136" i="13"/>
  <c r="P127" i="13"/>
  <c r="P123" i="13"/>
  <c r="P115" i="13"/>
  <c r="P161" i="13"/>
  <c r="P157" i="13"/>
  <c r="P153" i="13"/>
  <c r="P137" i="13"/>
  <c r="P144" i="13"/>
  <c r="P140" i="13"/>
  <c r="P124" i="13"/>
  <c r="P120" i="13"/>
  <c r="P151" i="13"/>
  <c r="P143" i="13"/>
  <c r="P119" i="13"/>
  <c r="P150" i="13"/>
  <c r="L237" i="2"/>
  <c r="L68" i="2" s="1"/>
  <c r="P156" i="13"/>
  <c r="P139" i="13"/>
  <c r="P131" i="13"/>
  <c r="P138" i="13"/>
  <c r="P134" i="13"/>
  <c r="P117" i="13"/>
  <c r="P126" i="13"/>
  <c r="L125" i="2"/>
  <c r="G97" i="2"/>
  <c r="K46" i="11" s="1"/>
  <c r="K49" i="11" s="1"/>
  <c r="K51" i="11" s="1"/>
  <c r="K53" i="11" s="1"/>
  <c r="L71" i="2"/>
  <c r="G96" i="2"/>
  <c r="I46" i="11" s="1"/>
  <c r="I49" i="11" s="1"/>
  <c r="I51" i="11" s="1"/>
  <c r="I53" i="11" s="1"/>
  <c r="L81" i="2"/>
  <c r="L215" i="2"/>
  <c r="L80" i="2"/>
  <c r="P132" i="13"/>
  <c r="E89" i="2" l="1"/>
  <c r="E90" i="2"/>
  <c r="A51" i="6"/>
  <c r="A59" i="6" s="1"/>
  <c r="E22" i="13"/>
  <c r="E22" i="20"/>
  <c r="J82" i="2"/>
  <c r="J83" i="2" s="1"/>
  <c r="L83" i="2" s="1"/>
  <c r="H75" i="13"/>
  <c r="L96" i="2"/>
  <c r="G201" i="2"/>
  <c r="L48" i="2"/>
  <c r="A39" i="9"/>
  <c r="A40" i="9" s="1"/>
  <c r="A119" i="38"/>
  <c r="A121" i="38" s="1"/>
  <c r="A123" i="38" s="1"/>
  <c r="A125" i="38" s="1"/>
  <c r="A126" i="38" s="1"/>
  <c r="A127" i="38" s="1"/>
  <c r="A128" i="38" s="1"/>
  <c r="A129" i="38" s="1"/>
  <c r="A130" i="38" s="1"/>
  <c r="D52" i="5" s="1"/>
  <c r="A41" i="48"/>
  <c r="B43" i="48" s="1"/>
  <c r="E103" i="41"/>
  <c r="E105" i="41" s="1"/>
  <c r="S33" i="21"/>
  <c r="L217" i="2" s="1"/>
  <c r="D24" i="50"/>
  <c r="H24" i="50" s="1"/>
  <c r="K24" i="50" s="1"/>
  <c r="G130" i="38"/>
  <c r="O90" i="13"/>
  <c r="P21" i="13"/>
  <c r="H24" i="47"/>
  <c r="K24" i="47" s="1"/>
  <c r="D20" i="5"/>
  <c r="B18" i="2"/>
  <c r="B20" i="2" s="1"/>
  <c r="B27" i="2" s="1"/>
  <c r="B29" i="2" s="1"/>
  <c r="B30" i="2" s="1"/>
  <c r="D23" i="49"/>
  <c r="H22" i="49"/>
  <c r="K22" i="49" s="1"/>
  <c r="I49" i="5"/>
  <c r="I51" i="5" s="1"/>
  <c r="G108" i="2" s="1"/>
  <c r="E36" i="5"/>
  <c r="I35" i="5"/>
  <c r="I33" i="5"/>
  <c r="G106" i="2" s="1"/>
  <c r="I27" i="5"/>
  <c r="E28" i="5"/>
  <c r="I19" i="5"/>
  <c r="E20" i="5"/>
  <c r="I25" i="5"/>
  <c r="G28" i="5"/>
  <c r="I17" i="5"/>
  <c r="G20" i="5"/>
  <c r="G44" i="5"/>
  <c r="I34" i="5"/>
  <c r="G36" i="5"/>
  <c r="G110" i="38"/>
  <c r="G116" i="38" s="1"/>
  <c r="K33" i="6"/>
  <c r="G127" i="2"/>
  <c r="A50" i="41"/>
  <c r="A51" i="41" s="1"/>
  <c r="A52" i="41" s="1"/>
  <c r="A53" i="41" s="1"/>
  <c r="A54" i="41" s="1"/>
  <c r="A55" i="41" s="1"/>
  <c r="A56" i="41" s="1"/>
  <c r="F26" i="47"/>
  <c r="H25" i="47"/>
  <c r="K25" i="47" s="1"/>
  <c r="G57" i="38"/>
  <c r="F39" i="49"/>
  <c r="F36" i="49"/>
  <c r="A48" i="11"/>
  <c r="A49" i="11" s="1"/>
  <c r="L239" i="2"/>
  <c r="F27" i="50"/>
  <c r="D104" i="41"/>
  <c r="E95" i="41"/>
  <c r="E104" i="41" s="1"/>
  <c r="J78" i="2"/>
  <c r="G20" i="11"/>
  <c r="G41" i="11" s="1"/>
  <c r="G191" i="2" s="1"/>
  <c r="G194" i="2" s="1"/>
  <c r="E41" i="11"/>
  <c r="G75" i="20"/>
  <c r="E87" i="2"/>
  <c r="E84" i="2"/>
  <c r="E86" i="2"/>
  <c r="E85" i="2"/>
  <c r="E81" i="2"/>
  <c r="A49" i="35"/>
  <c r="A50" i="35" s="1"/>
  <c r="A51" i="35" s="1"/>
  <c r="A52" i="35" s="1"/>
  <c r="A53" i="35" s="1"/>
  <c r="A54" i="35" s="1"/>
  <c r="A55" i="35" s="1"/>
  <c r="A56" i="35" s="1"/>
  <c r="A57" i="35" s="1"/>
  <c r="A58" i="35" s="1"/>
  <c r="A59" i="35" s="1"/>
  <c r="A60" i="35" s="1"/>
  <c r="A61" i="35" s="1"/>
  <c r="A62" i="35" s="1"/>
  <c r="E82" i="2"/>
  <c r="E83" i="2"/>
  <c r="E80" i="2"/>
  <c r="E88" i="2"/>
  <c r="K23" i="50"/>
  <c r="A26" i="5"/>
  <c r="A27" i="5" s="1"/>
  <c r="A28" i="5" s="1"/>
  <c r="A31" i="5" s="1"/>
  <c r="A33" i="5" s="1"/>
  <c r="K55" i="11"/>
  <c r="K56" i="11" s="1"/>
  <c r="A61" i="6" l="1"/>
  <c r="A62" i="6" s="1"/>
  <c r="A63" i="6" s="1"/>
  <c r="A64" i="6" s="1"/>
  <c r="A65" i="6" s="1"/>
  <c r="A66" i="6" s="1"/>
  <c r="A67" i="6" s="1"/>
  <c r="A68" i="6" s="1"/>
  <c r="A69" i="6" s="1"/>
  <c r="A70" i="6" s="1"/>
  <c r="A71" i="6" s="1"/>
  <c r="A63" i="38"/>
  <c r="A64" i="38" s="1"/>
  <c r="A65" i="38" s="1"/>
  <c r="A66" i="38" s="1"/>
  <c r="A67" i="38" s="1"/>
  <c r="J181" i="2"/>
  <c r="L181" i="2" s="1"/>
  <c r="G207" i="2"/>
  <c r="J155" i="2"/>
  <c r="L155" i="2" s="1"/>
  <c r="E160" i="2"/>
  <c r="A43" i="48"/>
  <c r="A45" i="48" s="1"/>
  <c r="B47" i="48" s="1"/>
  <c r="D25" i="50"/>
  <c r="D26" i="50" s="1"/>
  <c r="A41" i="9"/>
  <c r="A42" i="9" s="1"/>
  <c r="L262" i="2"/>
  <c r="C49" i="11"/>
  <c r="E20" i="2"/>
  <c r="D24" i="49"/>
  <c r="H23" i="49"/>
  <c r="K23" i="49" s="1"/>
  <c r="D33" i="2"/>
  <c r="E31" i="2"/>
  <c r="B31" i="2"/>
  <c r="B33" i="2" s="1"/>
  <c r="B34" i="2" s="1"/>
  <c r="J119" i="2"/>
  <c r="L119" i="2" s="1"/>
  <c r="J250" i="2"/>
  <c r="L250" i="2" s="1"/>
  <c r="J168" i="2"/>
  <c r="I36" i="5"/>
  <c r="L106" i="2" s="1"/>
  <c r="G105" i="2"/>
  <c r="I28" i="5"/>
  <c r="L105" i="2" s="1"/>
  <c r="G104" i="2"/>
  <c r="I20" i="5"/>
  <c r="L104" i="2" s="1"/>
  <c r="J169" i="2"/>
  <c r="L169" i="2" s="1"/>
  <c r="J69" i="2"/>
  <c r="L69" i="2" s="1"/>
  <c r="H26" i="47"/>
  <c r="F27" i="47"/>
  <c r="F40" i="49"/>
  <c r="F28" i="50"/>
  <c r="B58" i="41"/>
  <c r="E261" i="2"/>
  <c r="A58" i="41"/>
  <c r="B56" i="41"/>
  <c r="D28" i="5"/>
  <c r="D235" i="2"/>
  <c r="D236" i="2"/>
  <c r="A50" i="11"/>
  <c r="A51" i="11" s="1"/>
  <c r="A34" i="5"/>
  <c r="A35" i="5" s="1"/>
  <c r="A36" i="5" s="1"/>
  <c r="A39" i="5" s="1"/>
  <c r="A41" i="5" s="1"/>
  <c r="A68" i="38" l="1"/>
  <c r="A69" i="38" s="1"/>
  <c r="L118" i="2"/>
  <c r="G59" i="20"/>
  <c r="H76" i="13"/>
  <c r="H77" i="13" s="1"/>
  <c r="H78" i="13" s="1"/>
  <c r="H79" i="13" s="1"/>
  <c r="D98" i="13" s="1"/>
  <c r="J99" i="13" s="1"/>
  <c r="E102" i="13" s="1"/>
  <c r="F102" i="13" s="1"/>
  <c r="G102" i="13" s="1"/>
  <c r="F59" i="13"/>
  <c r="G76" i="20"/>
  <c r="G77" i="20" s="1"/>
  <c r="G78" i="20" s="1"/>
  <c r="G79" i="20" s="1"/>
  <c r="D96" i="20" s="1"/>
  <c r="I97" i="20" s="1"/>
  <c r="E100" i="20" s="1"/>
  <c r="F100" i="20" s="1"/>
  <c r="D101" i="20" s="1"/>
  <c r="E101" i="20" s="1"/>
  <c r="F101" i="20" s="1"/>
  <c r="D102" i="20" s="1"/>
  <c r="E102" i="20" s="1"/>
  <c r="F102" i="20" s="1"/>
  <c r="D103" i="20" s="1"/>
  <c r="L255" i="2"/>
  <c r="L257" i="2" s="1"/>
  <c r="L95" i="2"/>
  <c r="H25" i="50"/>
  <c r="K25" i="50" s="1"/>
  <c r="A45" i="9"/>
  <c r="A46" i="9" s="1"/>
  <c r="A47" i="9" s="1"/>
  <c r="A48" i="9" s="1"/>
  <c r="A49" i="9" s="1"/>
  <c r="A50" i="9" s="1"/>
  <c r="A51" i="9" s="1"/>
  <c r="A52" i="9" s="1"/>
  <c r="A53" i="9" s="1"/>
  <c r="A54" i="9" s="1"/>
  <c r="A55" i="9" s="1"/>
  <c r="A56" i="9" s="1"/>
  <c r="A57" i="9" s="1"/>
  <c r="A58" i="9" s="1"/>
  <c r="A59" i="9" s="1"/>
  <c r="A60" i="9" s="1"/>
  <c r="A62" i="9" s="1"/>
  <c r="E168" i="2"/>
  <c r="C51" i="11"/>
  <c r="D36" i="2"/>
  <c r="C70" i="20"/>
  <c r="C70" i="13"/>
  <c r="B36" i="2"/>
  <c r="B37" i="2" s="1"/>
  <c r="D25" i="49"/>
  <c r="H24" i="49"/>
  <c r="K24" i="49" s="1"/>
  <c r="D27" i="50"/>
  <c r="H26" i="50"/>
  <c r="K26" i="50" s="1"/>
  <c r="A47" i="48"/>
  <c r="C21" i="48" s="1"/>
  <c r="E161" i="2"/>
  <c r="F41" i="49"/>
  <c r="A61" i="41"/>
  <c r="D271" i="2"/>
  <c r="A42" i="5"/>
  <c r="A43" i="5" s="1"/>
  <c r="A44" i="5" s="1"/>
  <c r="A47" i="5" s="1"/>
  <c r="A49" i="5" s="1"/>
  <c r="D36" i="5"/>
  <c r="F29" i="50"/>
  <c r="F28" i="47"/>
  <c r="H27" i="47"/>
  <c r="K27" i="47" s="1"/>
  <c r="K26" i="47"/>
  <c r="A52" i="11"/>
  <c r="A53" i="11" s="1"/>
  <c r="A70" i="38" l="1"/>
  <c r="A71" i="38" s="1"/>
  <c r="A72" i="38" s="1"/>
  <c r="A73" i="38" s="1"/>
  <c r="A74" i="38" s="1"/>
  <c r="A75" i="38" s="1"/>
  <c r="A76" i="38" s="1"/>
  <c r="A77" i="38" s="1"/>
  <c r="A78" i="38" s="1"/>
  <c r="A79" i="38" s="1"/>
  <c r="A80" i="38" s="1"/>
  <c r="A81" i="38" s="1"/>
  <c r="A82" i="38" s="1"/>
  <c r="A83" i="38" s="1"/>
  <c r="A84" i="38" s="1"/>
  <c r="A85" i="38" s="1"/>
  <c r="A26" i="39"/>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J123" i="2"/>
  <c r="L123" i="2" s="1"/>
  <c r="D103" i="13"/>
  <c r="E103" i="13" s="1"/>
  <c r="J183" i="2"/>
  <c r="L183" i="2" s="1"/>
  <c r="J72" i="2"/>
  <c r="L72" i="2" s="1"/>
  <c r="J171" i="2"/>
  <c r="J86" i="2"/>
  <c r="L86" i="2" s="1"/>
  <c r="J121" i="2"/>
  <c r="L121" i="2" s="1"/>
  <c r="J88" i="2"/>
  <c r="L88" i="2" s="1"/>
  <c r="J189" i="2"/>
  <c r="L189" i="2" s="1"/>
  <c r="J182" i="2"/>
  <c r="L182" i="2" s="1"/>
  <c r="F64" i="13"/>
  <c r="G64" i="20"/>
  <c r="J73" i="2"/>
  <c r="L73" i="2" s="1"/>
  <c r="J165" i="2"/>
  <c r="J115" i="2"/>
  <c r="L115" i="2" s="1"/>
  <c r="J87" i="2"/>
  <c r="L87" i="2" s="1"/>
  <c r="J74" i="2"/>
  <c r="L74" i="2" s="1"/>
  <c r="E169" i="2"/>
  <c r="A65" i="9"/>
  <c r="A66" i="9" s="1"/>
  <c r="A67" i="9" s="1"/>
  <c r="A68" i="9" s="1"/>
  <c r="A69" i="9" s="1"/>
  <c r="A71" i="9" s="1"/>
  <c r="E170" i="2" s="1"/>
  <c r="D26" i="49"/>
  <c r="H25" i="49"/>
  <c r="K25" i="49" s="1"/>
  <c r="B24" i="2"/>
  <c r="B39" i="2"/>
  <c r="B42" i="2" s="1"/>
  <c r="B44" i="2" s="1"/>
  <c r="B45" i="2" s="1"/>
  <c r="B46" i="2" s="1"/>
  <c r="B48" i="2" s="1"/>
  <c r="B66" i="2" s="1"/>
  <c r="A50" i="5"/>
  <c r="A51" i="5" s="1"/>
  <c r="A52" i="5" s="1"/>
  <c r="A54" i="11"/>
  <c r="C54" i="11"/>
  <c r="C53" i="11"/>
  <c r="F30" i="50"/>
  <c r="D63" i="41"/>
  <c r="A64" i="41"/>
  <c r="D28" i="50"/>
  <c r="H27" i="50"/>
  <c r="F42" i="49"/>
  <c r="F29" i="47"/>
  <c r="H28" i="47"/>
  <c r="D44" i="5"/>
  <c r="E103" i="20"/>
  <c r="F103" i="20" s="1"/>
  <c r="D104" i="20" s="1"/>
  <c r="A86" i="38" l="1"/>
  <c r="A87" i="38" s="1"/>
  <c r="A88" i="38" s="1"/>
  <c r="A89" i="38" s="1"/>
  <c r="A90" i="38" s="1"/>
  <c r="A91" i="38" s="1"/>
  <c r="A92" i="38" s="1"/>
  <c r="A93" i="38" s="1"/>
  <c r="A94" i="38" s="1"/>
  <c r="A95" i="38" s="1"/>
  <c r="A96" i="38" s="1"/>
  <c r="A97" i="38" s="1"/>
  <c r="A98" i="38" s="1"/>
  <c r="A99" i="38" s="1"/>
  <c r="A100" i="38" s="1"/>
  <c r="A101" i="38" s="1"/>
  <c r="A102" i="38" s="1"/>
  <c r="A103" i="38" s="1"/>
  <c r="A104" i="38" s="1"/>
  <c r="L185" i="2"/>
  <c r="L91" i="2"/>
  <c r="L97" i="2"/>
  <c r="L98" i="2"/>
  <c r="E36" i="9"/>
  <c r="E42" i="9" s="1"/>
  <c r="F42" i="9"/>
  <c r="G168" i="2" s="1"/>
  <c r="L168" i="2" s="1"/>
  <c r="E48" i="2"/>
  <c r="D319" i="2"/>
  <c r="D27" i="49"/>
  <c r="H26" i="49"/>
  <c r="K26" i="49" s="1"/>
  <c r="F30" i="47"/>
  <c r="H29" i="47"/>
  <c r="K29" i="47" s="1"/>
  <c r="K27" i="50"/>
  <c r="B67" i="2"/>
  <c r="B68" i="2" s="1"/>
  <c r="D29" i="50"/>
  <c r="H28" i="50"/>
  <c r="K28" i="50" s="1"/>
  <c r="C55" i="11"/>
  <c r="A55" i="11"/>
  <c r="F31" i="50"/>
  <c r="A65" i="41"/>
  <c r="A66" i="41" s="1"/>
  <c r="A67" i="41" s="1"/>
  <c r="A68" i="41" s="1"/>
  <c r="A69" i="41" s="1"/>
  <c r="A70" i="41" s="1"/>
  <c r="A71" i="41" s="1"/>
  <c r="A72" i="41" s="1"/>
  <c r="A73" i="41" s="1"/>
  <c r="A74" i="41" s="1"/>
  <c r="F43" i="49"/>
  <c r="D51" i="5"/>
  <c r="K28" i="47"/>
  <c r="E104" i="20"/>
  <c r="F104" i="20" s="1"/>
  <c r="D105" i="20" s="1"/>
  <c r="F103" i="13"/>
  <c r="A105" i="38" l="1"/>
  <c r="A106" i="38" s="1"/>
  <c r="A107" i="38" s="1"/>
  <c r="B76" i="41"/>
  <c r="D28" i="49"/>
  <c r="H27" i="49"/>
  <c r="K27" i="49" s="1"/>
  <c r="D30" i="50"/>
  <c r="H29" i="50"/>
  <c r="C75" i="20"/>
  <c r="E234" i="2"/>
  <c r="B69" i="2"/>
  <c r="B70" i="2" s="1"/>
  <c r="C75" i="13"/>
  <c r="A76" i="41"/>
  <c r="B50" i="41"/>
  <c r="F32" i="50"/>
  <c r="A56" i="11"/>
  <c r="C56" i="11"/>
  <c r="F44" i="49"/>
  <c r="H30" i="47"/>
  <c r="F31" i="47"/>
  <c r="E105" i="20"/>
  <c r="F105" i="20" s="1"/>
  <c r="D106" i="20" s="1"/>
  <c r="D104" i="13"/>
  <c r="G103" i="13"/>
  <c r="H28" i="49" l="1"/>
  <c r="K28" i="49" s="1"/>
  <c r="D29" i="49"/>
  <c r="B71" i="2"/>
  <c r="B72" i="2" s="1"/>
  <c r="K30" i="47"/>
  <c r="K29" i="50"/>
  <c r="F39" i="50"/>
  <c r="F36" i="50"/>
  <c r="A77" i="41"/>
  <c r="A78" i="41" s="1"/>
  <c r="A79" i="41" s="1"/>
  <c r="A80" i="41" s="1"/>
  <c r="D31" i="50"/>
  <c r="H30" i="50"/>
  <c r="K30" i="50" s="1"/>
  <c r="F45" i="49"/>
  <c r="A57" i="11"/>
  <c r="C57" i="11"/>
  <c r="H31" i="47"/>
  <c r="K31" i="47" s="1"/>
  <c r="F32" i="47"/>
  <c r="E106" i="20"/>
  <c r="F106" i="20" s="1"/>
  <c r="D107" i="20" s="1"/>
  <c r="E104" i="13"/>
  <c r="F104" i="13" s="1"/>
  <c r="D30" i="49" l="1"/>
  <c r="H29" i="49"/>
  <c r="K29" i="49" s="1"/>
  <c r="D32" i="50"/>
  <c r="H32" i="50" s="1"/>
  <c r="K32" i="50" s="1"/>
  <c r="H31" i="50"/>
  <c r="F36" i="47"/>
  <c r="F39" i="47"/>
  <c r="H32" i="47"/>
  <c r="A85" i="41"/>
  <c r="B51" i="41"/>
  <c r="F46" i="49"/>
  <c r="B80" i="41"/>
  <c r="B73" i="2"/>
  <c r="B74" i="2" s="1"/>
  <c r="F40" i="50"/>
  <c r="D105" i="13"/>
  <c r="G104" i="13"/>
  <c r="E107" i="20"/>
  <c r="F107" i="20" s="1"/>
  <c r="D108" i="20" s="1"/>
  <c r="I31" i="30" l="1"/>
  <c r="H30" i="49"/>
  <c r="K30" i="49" s="1"/>
  <c r="D31" i="49"/>
  <c r="I28" i="30"/>
  <c r="K32" i="47"/>
  <c r="K33" i="47" s="1"/>
  <c r="D36" i="47" s="1"/>
  <c r="H36" i="47" s="1"/>
  <c r="H33" i="47"/>
  <c r="K31" i="50"/>
  <c r="K33" i="50" s="1"/>
  <c r="D36" i="50" s="1"/>
  <c r="H33" i="50"/>
  <c r="A86" i="41"/>
  <c r="B77" i="2"/>
  <c r="B79" i="2" s="1"/>
  <c r="B80" i="2" s="1"/>
  <c r="E77" i="2"/>
  <c r="F40" i="47"/>
  <c r="F47" i="49"/>
  <c r="F41" i="50"/>
  <c r="E108" i="20"/>
  <c r="F108" i="20" s="1"/>
  <c r="D109" i="20" s="1"/>
  <c r="E105" i="13"/>
  <c r="F105" i="13" s="1"/>
  <c r="D106" i="13" s="1"/>
  <c r="D32" i="49" l="1"/>
  <c r="H32" i="49" s="1"/>
  <c r="K32" i="49" s="1"/>
  <c r="H31" i="49"/>
  <c r="H36" i="50"/>
  <c r="K36" i="50" s="1"/>
  <c r="F41" i="47"/>
  <c r="F48" i="49"/>
  <c r="F42" i="50"/>
  <c r="B81" i="2"/>
  <c r="B82" i="2" s="1"/>
  <c r="A87" i="41"/>
  <c r="A88" i="41" s="1"/>
  <c r="K36" i="47"/>
  <c r="E109" i="20"/>
  <c r="F109" i="20" s="1"/>
  <c r="D110" i="20" s="1"/>
  <c r="E106" i="13"/>
  <c r="F106" i="13" s="1"/>
  <c r="G105" i="13"/>
  <c r="K31" i="49" l="1"/>
  <c r="K33" i="49" s="1"/>
  <c r="D36" i="49" s="1"/>
  <c r="H36" i="49" s="1"/>
  <c r="K36" i="49" s="1"/>
  <c r="D39" i="49" s="1"/>
  <c r="H33" i="49"/>
  <c r="E94" i="2"/>
  <c r="D39" i="50"/>
  <c r="I39" i="50"/>
  <c r="F49" i="49"/>
  <c r="F43" i="50"/>
  <c r="A89" i="41"/>
  <c r="B89" i="41"/>
  <c r="F42" i="47"/>
  <c r="D39" i="47"/>
  <c r="I39" i="47"/>
  <c r="B88" i="41"/>
  <c r="B83" i="2"/>
  <c r="B84" i="2" s="1"/>
  <c r="E110" i="20"/>
  <c r="F110" i="20" s="1"/>
  <c r="D107" i="13"/>
  <c r="G106" i="13"/>
  <c r="E95" i="2" l="1"/>
  <c r="I39" i="49"/>
  <c r="I40" i="49" s="1"/>
  <c r="I41" i="49" s="1"/>
  <c r="I42" i="49" s="1"/>
  <c r="I43" i="49" s="1"/>
  <c r="I44" i="49" s="1"/>
  <c r="I45" i="49" s="1"/>
  <c r="I46" i="49" s="1"/>
  <c r="I47" i="49" s="1"/>
  <c r="I48" i="49" s="1"/>
  <c r="I49" i="49" s="1"/>
  <c r="I50" i="49" s="1"/>
  <c r="D111" i="20"/>
  <c r="E111" i="20" s="1"/>
  <c r="F111" i="20" s="1"/>
  <c r="F44" i="50"/>
  <c r="K39" i="47"/>
  <c r="D40" i="47" s="1"/>
  <c r="H39" i="47"/>
  <c r="I40" i="47"/>
  <c r="I41" i="47" s="1"/>
  <c r="I42" i="47" s="1"/>
  <c r="I43" i="47" s="1"/>
  <c r="I44" i="47" s="1"/>
  <c r="I45" i="47" s="1"/>
  <c r="I46" i="47" s="1"/>
  <c r="I47" i="47" s="1"/>
  <c r="I48" i="47" s="1"/>
  <c r="I49" i="47" s="1"/>
  <c r="I50" i="47" s="1"/>
  <c r="F50" i="49"/>
  <c r="F43" i="47"/>
  <c r="I40" i="50"/>
  <c r="I41" i="50" s="1"/>
  <c r="I42" i="50" s="1"/>
  <c r="I43" i="50" s="1"/>
  <c r="I44" i="50" s="1"/>
  <c r="I45" i="50" s="1"/>
  <c r="I46" i="50" s="1"/>
  <c r="I47" i="50" s="1"/>
  <c r="I48" i="50" s="1"/>
  <c r="I49" i="50" s="1"/>
  <c r="I50" i="50" s="1"/>
  <c r="K39" i="50"/>
  <c r="D40" i="50" s="1"/>
  <c r="H39" i="50"/>
  <c r="A91" i="41"/>
  <c r="B85" i="2"/>
  <c r="B86" i="2" s="1"/>
  <c r="H39" i="49"/>
  <c r="E107" i="13"/>
  <c r="F107" i="13" s="1"/>
  <c r="E96" i="2" l="1"/>
  <c r="K39" i="49"/>
  <c r="D40" i="49" s="1"/>
  <c r="H40" i="49" s="1"/>
  <c r="I53" i="47"/>
  <c r="I55" i="47" s="1"/>
  <c r="B87" i="2"/>
  <c r="B88" i="2" s="1"/>
  <c r="I53" i="50"/>
  <c r="I55" i="50" s="1"/>
  <c r="K40" i="47"/>
  <c r="D41" i="47" s="1"/>
  <c r="H40" i="47"/>
  <c r="F44" i="47"/>
  <c r="A92" i="41"/>
  <c r="K40" i="50"/>
  <c r="D41" i="50" s="1"/>
  <c r="H40" i="50"/>
  <c r="F45" i="50"/>
  <c r="I53" i="49"/>
  <c r="I55" i="49" s="1"/>
  <c r="D108" i="13"/>
  <c r="G107" i="13"/>
  <c r="D112" i="20"/>
  <c r="K40" i="49" l="1"/>
  <c r="D41" i="49" s="1"/>
  <c r="H41" i="49" s="1"/>
  <c r="E97" i="2"/>
  <c r="K41" i="50"/>
  <c r="D42" i="50" s="1"/>
  <c r="H41" i="50"/>
  <c r="B91" i="2"/>
  <c r="B93" i="2" s="1"/>
  <c r="B94" i="2" s="1"/>
  <c r="E98" i="2"/>
  <c r="E91" i="2"/>
  <c r="K41" i="47"/>
  <c r="D42" i="47" s="1"/>
  <c r="H41" i="47"/>
  <c r="F45" i="47"/>
  <c r="A93" i="41"/>
  <c r="A94" i="41" s="1"/>
  <c r="F46" i="50"/>
  <c r="E112" i="20"/>
  <c r="F112" i="20" s="1"/>
  <c r="E108" i="13"/>
  <c r="F108" i="13" s="1"/>
  <c r="K41" i="49" l="1"/>
  <c r="D42" i="49" s="1"/>
  <c r="K42" i="49" s="1"/>
  <c r="D43" i="49" s="1"/>
  <c r="D113" i="20"/>
  <c r="E113" i="20" s="1"/>
  <c r="F113" i="20" s="1"/>
  <c r="D114" i="20" s="1"/>
  <c r="B95" i="2"/>
  <c r="B94" i="41"/>
  <c r="K42" i="50"/>
  <c r="D43" i="50" s="1"/>
  <c r="H42" i="50"/>
  <c r="K42" i="47"/>
  <c r="D43" i="47" s="1"/>
  <c r="H42" i="47"/>
  <c r="F46" i="47"/>
  <c r="A95" i="41"/>
  <c r="B95" i="41"/>
  <c r="F47" i="50"/>
  <c r="D109" i="13"/>
  <c r="G108" i="13"/>
  <c r="H42" i="49" l="1"/>
  <c r="A97" i="41"/>
  <c r="C64" i="20"/>
  <c r="C64" i="13"/>
  <c r="B96" i="2"/>
  <c r="B97" i="2" s="1"/>
  <c r="B98" i="2" s="1"/>
  <c r="F47" i="47"/>
  <c r="K43" i="49"/>
  <c r="D44" i="49" s="1"/>
  <c r="H43" i="49"/>
  <c r="F48" i="50"/>
  <c r="K43" i="47"/>
  <c r="D44" i="47" s="1"/>
  <c r="H43" i="47"/>
  <c r="K43" i="50"/>
  <c r="D44" i="50" s="1"/>
  <c r="H43" i="50"/>
  <c r="E114" i="20"/>
  <c r="F114" i="20" s="1"/>
  <c r="E109" i="13"/>
  <c r="F109" i="13" s="1"/>
  <c r="D110" i="13" s="1"/>
  <c r="G109" i="13" l="1"/>
  <c r="K44" i="47"/>
  <c r="D45" i="47" s="1"/>
  <c r="H44" i="47"/>
  <c r="B100" i="2"/>
  <c r="E100" i="2"/>
  <c r="F49" i="50"/>
  <c r="K44" i="49"/>
  <c r="D45" i="49" s="1"/>
  <c r="H44" i="49"/>
  <c r="A98" i="41"/>
  <c r="F48" i="47"/>
  <c r="K44" i="50"/>
  <c r="D45" i="50" s="1"/>
  <c r="H44" i="50"/>
  <c r="D115" i="20"/>
  <c r="E110" i="13"/>
  <c r="F110" i="13" s="1"/>
  <c r="K45" i="49" l="1"/>
  <c r="D46" i="49" s="1"/>
  <c r="H45" i="49"/>
  <c r="K45" i="50"/>
  <c r="D46" i="50" s="1"/>
  <c r="H45" i="50"/>
  <c r="F50" i="50"/>
  <c r="F49" i="47"/>
  <c r="B103" i="2"/>
  <c r="B104" i="2" s="1"/>
  <c r="C46" i="11"/>
  <c r="A99" i="41"/>
  <c r="A100" i="41" s="1"/>
  <c r="K45" i="47"/>
  <c r="D46" i="47" s="1"/>
  <c r="H45" i="47"/>
  <c r="D111" i="13"/>
  <c r="G110" i="13"/>
  <c r="E115" i="20"/>
  <c r="F115" i="20" s="1"/>
  <c r="B100" i="41" l="1"/>
  <c r="K46" i="47"/>
  <c r="D47" i="47" s="1"/>
  <c r="H46" i="47"/>
  <c r="A101" i="41"/>
  <c r="B103" i="41"/>
  <c r="B101" i="41"/>
  <c r="F50" i="47"/>
  <c r="K46" i="50"/>
  <c r="D47" i="50" s="1"/>
  <c r="H46" i="50"/>
  <c r="B105" i="2"/>
  <c r="B106" i="2" s="1"/>
  <c r="B107" i="2" s="1"/>
  <c r="B108" i="2" s="1"/>
  <c r="B109" i="2" s="1"/>
  <c r="K46" i="49"/>
  <c r="D47" i="49" s="1"/>
  <c r="H46" i="49"/>
  <c r="D116" i="20"/>
  <c r="E111" i="13"/>
  <c r="F111" i="13" s="1"/>
  <c r="K47" i="49" l="1"/>
  <c r="D48" i="49" s="1"/>
  <c r="H47" i="49"/>
  <c r="B111" i="2"/>
  <c r="B113" i="2" s="1"/>
  <c r="B115" i="2" s="1"/>
  <c r="B117" i="2" s="1"/>
  <c r="B118" i="2" s="1"/>
  <c r="E109" i="2"/>
  <c r="A103" i="41"/>
  <c r="B104" i="41"/>
  <c r="K47" i="50"/>
  <c r="D48" i="50" s="1"/>
  <c r="H47" i="50"/>
  <c r="K47" i="47"/>
  <c r="D48" i="47" s="1"/>
  <c r="H47" i="47"/>
  <c r="D112" i="13"/>
  <c r="G111" i="13"/>
  <c r="E116" i="20"/>
  <c r="F116" i="20" s="1"/>
  <c r="E262" i="2" l="1"/>
  <c r="A104" i="41"/>
  <c r="K48" i="47"/>
  <c r="D49" i="47" s="1"/>
  <c r="H48" i="47"/>
  <c r="K48" i="49"/>
  <c r="D49" i="49" s="1"/>
  <c r="H48" i="49"/>
  <c r="B119" i="2"/>
  <c r="B121" i="2" s="1"/>
  <c r="B122" i="2" s="1"/>
  <c r="B123" i="2" s="1"/>
  <c r="B124" i="2" s="1"/>
  <c r="B125" i="2" s="1"/>
  <c r="B126" i="2" s="1"/>
  <c r="B127" i="2" s="1"/>
  <c r="B129" i="2" s="1"/>
  <c r="K48" i="50"/>
  <c r="D49" i="50" s="1"/>
  <c r="H48" i="50"/>
  <c r="D117" i="20"/>
  <c r="E112" i="13"/>
  <c r="F112" i="13" s="1"/>
  <c r="D113" i="13" l="1"/>
  <c r="E113" i="13" s="1"/>
  <c r="F113" i="13" s="1"/>
  <c r="D114" i="13" s="1"/>
  <c r="G112" i="13"/>
  <c r="B131" i="2"/>
  <c r="D315" i="2"/>
  <c r="K49" i="49"/>
  <c r="D50" i="49" s="1"/>
  <c r="H49" i="49"/>
  <c r="K49" i="47"/>
  <c r="D50" i="47" s="1"/>
  <c r="H49" i="47"/>
  <c r="D131" i="2"/>
  <c r="K49" i="50"/>
  <c r="D50" i="50" s="1"/>
  <c r="H49" i="50"/>
  <c r="B105" i="41"/>
  <c r="A105" i="41"/>
  <c r="E127" i="2"/>
  <c r="E117" i="20"/>
  <c r="F117" i="20" s="1"/>
  <c r="K50" i="49" l="1"/>
  <c r="H50" i="49"/>
  <c r="H51" i="49" s="1"/>
  <c r="B146" i="2"/>
  <c r="C28" i="13"/>
  <c r="C28" i="20"/>
  <c r="K50" i="47"/>
  <c r="H50" i="47"/>
  <c r="H51" i="47" s="1"/>
  <c r="K50" i="50"/>
  <c r="H50" i="50"/>
  <c r="H51" i="50" s="1"/>
  <c r="D118" i="20"/>
  <c r="E118" i="20" s="1"/>
  <c r="G113" i="13"/>
  <c r="E114" i="13"/>
  <c r="F114" i="13" s="1"/>
  <c r="B147" i="2" l="1"/>
  <c r="B148" i="2" s="1"/>
  <c r="B149" i="2" s="1"/>
  <c r="B150" i="2" s="1"/>
  <c r="E151" i="2" s="1"/>
  <c r="F118" i="20"/>
  <c r="D115" i="13"/>
  <c r="G114" i="13"/>
  <c r="B151" i="2" l="1"/>
  <c r="B152" i="2" s="1"/>
  <c r="D119" i="20"/>
  <c r="E115" i="13"/>
  <c r="F115" i="13" s="1"/>
  <c r="E44" i="2" l="1"/>
  <c r="D310" i="2"/>
  <c r="B153" i="2"/>
  <c r="B154" i="2" s="1"/>
  <c r="E119" i="20"/>
  <c r="F119" i="20" s="1"/>
  <c r="D116" i="13"/>
  <c r="G115" i="13"/>
  <c r="E155" i="2" l="1"/>
  <c r="D120" i="20"/>
  <c r="E120" i="20" s="1"/>
  <c r="F120" i="20" s="1"/>
  <c r="D312" i="2"/>
  <c r="B155" i="2"/>
  <c r="E116" i="13"/>
  <c r="F116" i="13" s="1"/>
  <c r="D309" i="2" l="1"/>
  <c r="E118" i="2"/>
  <c r="B157" i="2"/>
  <c r="D121" i="20"/>
  <c r="D117" i="13"/>
  <c r="G116" i="13"/>
  <c r="B158" i="2" l="1"/>
  <c r="E121" i="20"/>
  <c r="F121" i="20" s="1"/>
  <c r="D122" i="20" s="1"/>
  <c r="E122" i="20" s="1"/>
  <c r="F122" i="20" s="1"/>
  <c r="D123" i="20" s="1"/>
  <c r="E117" i="13"/>
  <c r="F117" i="13" s="1"/>
  <c r="D118" i="13" s="1"/>
  <c r="B159" i="2" l="1"/>
  <c r="B160" i="2" s="1"/>
  <c r="B161" i="2" s="1"/>
  <c r="B162" i="2" s="1"/>
  <c r="B163" i="2" s="1"/>
  <c r="B164" i="2" s="1"/>
  <c r="E167" i="2"/>
  <c r="E118" i="13"/>
  <c r="F118" i="13" s="1"/>
  <c r="G117" i="13"/>
  <c r="E123" i="20"/>
  <c r="F123" i="20" s="1"/>
  <c r="D124" i="20" l="1"/>
  <c r="E124" i="20" s="1"/>
  <c r="F124" i="20" s="1"/>
  <c r="B165" i="2"/>
  <c r="E165" i="2"/>
  <c r="D119" i="13"/>
  <c r="G118" i="13"/>
  <c r="D125" i="20" l="1"/>
  <c r="E125" i="20" s="1"/>
  <c r="F125" i="20" s="1"/>
  <c r="B167" i="2"/>
  <c r="B168" i="2" s="1"/>
  <c r="B169" i="2" s="1"/>
  <c r="B170" i="2" s="1"/>
  <c r="B171" i="2" s="1"/>
  <c r="B172" i="2" s="1"/>
  <c r="E119" i="13"/>
  <c r="F119" i="13" s="1"/>
  <c r="D126" i="20" l="1"/>
  <c r="E126" i="20" s="1"/>
  <c r="F126" i="20" s="1"/>
  <c r="E172" i="2"/>
  <c r="B174" i="2"/>
  <c r="D313" i="2"/>
  <c r="E174" i="2"/>
  <c r="D120" i="13"/>
  <c r="G119" i="13"/>
  <c r="B175" i="2" l="1"/>
  <c r="E176" i="2" s="1"/>
  <c r="D127" i="20"/>
  <c r="E120" i="13"/>
  <c r="F120" i="13" s="1"/>
  <c r="C48" i="13" l="1"/>
  <c r="D326" i="2"/>
  <c r="D328" i="2"/>
  <c r="E30" i="2"/>
  <c r="B176" i="2"/>
  <c r="C48" i="20"/>
  <c r="D323" i="2"/>
  <c r="D121" i="13"/>
  <c r="G120" i="13"/>
  <c r="E127" i="20"/>
  <c r="F127" i="20" s="1"/>
  <c r="B178" i="2" l="1"/>
  <c r="B179" i="2" s="1"/>
  <c r="D128" i="20"/>
  <c r="E121" i="13"/>
  <c r="F121" i="13" s="1"/>
  <c r="B180" i="2" l="1"/>
  <c r="B181" i="2" s="1"/>
  <c r="D122" i="13"/>
  <c r="G121" i="13"/>
  <c r="E128" i="20"/>
  <c r="F128" i="20" s="1"/>
  <c r="D129" i="20" l="1"/>
  <c r="E129" i="20" s="1"/>
  <c r="F129" i="20" s="1"/>
  <c r="B182" i="2"/>
  <c r="C59" i="13"/>
  <c r="C76" i="13"/>
  <c r="C76" i="20"/>
  <c r="C59" i="20"/>
  <c r="E34" i="2"/>
  <c r="E122" i="13"/>
  <c r="F122" i="13" s="1"/>
  <c r="D130" i="20" l="1"/>
  <c r="E130" i="20" s="1"/>
  <c r="F130" i="20" s="1"/>
  <c r="B183" i="2"/>
  <c r="B185" i="2" s="1"/>
  <c r="D123" i="13"/>
  <c r="E123" i="13" s="1"/>
  <c r="F123" i="13" s="1"/>
  <c r="G122" i="13"/>
  <c r="E185" i="2" l="1"/>
  <c r="B187" i="2"/>
  <c r="B188" i="2" s="1"/>
  <c r="B189" i="2" s="1"/>
  <c r="D124" i="13"/>
  <c r="G123" i="13"/>
  <c r="D131" i="20"/>
  <c r="B190" i="2" l="1"/>
  <c r="B191" i="2" s="1"/>
  <c r="B192" i="2" s="1"/>
  <c r="B193" i="2" s="1"/>
  <c r="B194" i="2" s="1"/>
  <c r="E131" i="20"/>
  <c r="F131" i="20" s="1"/>
  <c r="E124" i="13"/>
  <c r="F124" i="13" s="1"/>
  <c r="B196" i="2" l="1"/>
  <c r="B197" i="2" s="1"/>
  <c r="E194" i="2"/>
  <c r="D125" i="13"/>
  <c r="G124" i="13"/>
  <c r="D132" i="20"/>
  <c r="D201" i="2" l="1"/>
  <c r="B198" i="2"/>
  <c r="E132" i="20"/>
  <c r="F132" i="20" s="1"/>
  <c r="E125" i="13"/>
  <c r="F125" i="13" s="1"/>
  <c r="D133" i="20" l="1"/>
  <c r="C35" i="13"/>
  <c r="C35" i="20"/>
  <c r="B199" i="2"/>
  <c r="B200" i="2" s="1"/>
  <c r="B201" i="2" s="1"/>
  <c r="D126" i="13"/>
  <c r="G125" i="13"/>
  <c r="E133" i="20" l="1"/>
  <c r="F133" i="20" s="1"/>
  <c r="B202" i="2"/>
  <c r="E207" i="2" s="1"/>
  <c r="E126" i="13"/>
  <c r="F126" i="13" s="1"/>
  <c r="D134" i="20" l="1"/>
  <c r="E134" i="20" s="1"/>
  <c r="F134" i="20" s="1"/>
  <c r="D135" i="20" s="1"/>
  <c r="E135" i="20" s="1"/>
  <c r="F135" i="20" s="1"/>
  <c r="D354" i="2"/>
  <c r="B203" i="2"/>
  <c r="D127" i="13"/>
  <c r="G126" i="13"/>
  <c r="B204" i="2" l="1"/>
  <c r="E208" i="2"/>
  <c r="D136" i="20"/>
  <c r="E127" i="13"/>
  <c r="F127" i="13" s="1"/>
  <c r="D128" i="13" s="1"/>
  <c r="B206" i="2" l="1"/>
  <c r="E209" i="2"/>
  <c r="G127" i="13"/>
  <c r="E128" i="13"/>
  <c r="F128" i="13" s="1"/>
  <c r="D129" i="13" s="1"/>
  <c r="E136" i="20"/>
  <c r="F136" i="20" s="1"/>
  <c r="B207" i="2" l="1"/>
  <c r="B208" i="2" s="1"/>
  <c r="B209" i="2" s="1"/>
  <c r="B211" i="2" s="1"/>
  <c r="D137" i="20"/>
  <c r="E129" i="13"/>
  <c r="F129" i="13" s="1"/>
  <c r="D130" i="13" s="1"/>
  <c r="G128" i="13"/>
  <c r="E211" i="2" l="1"/>
  <c r="C50" i="13"/>
  <c r="B213" i="2"/>
  <c r="E37" i="2" s="1"/>
  <c r="C50" i="20"/>
  <c r="E130" i="13"/>
  <c r="F130" i="13" s="1"/>
  <c r="G129" i="13"/>
  <c r="E137" i="20"/>
  <c r="F137" i="20" s="1"/>
  <c r="C49" i="20" l="1"/>
  <c r="B215" i="2"/>
  <c r="C49" i="13"/>
  <c r="E206" i="2"/>
  <c r="D138" i="20"/>
  <c r="D131" i="13"/>
  <c r="G130" i="13"/>
  <c r="D317" i="2" l="1"/>
  <c r="B217" i="2"/>
  <c r="E131" i="13"/>
  <c r="F131" i="13" s="1"/>
  <c r="E138" i="20"/>
  <c r="F138" i="20" s="1"/>
  <c r="D219" i="2" l="1"/>
  <c r="B219" i="2"/>
  <c r="B221" i="2" s="1"/>
  <c r="D139" i="20"/>
  <c r="D132" i="13"/>
  <c r="G131" i="13"/>
  <c r="B234" i="2" l="1"/>
  <c r="E13" i="2"/>
  <c r="D222" i="2"/>
  <c r="E132" i="13"/>
  <c r="F132" i="13" s="1"/>
  <c r="D133" i="13" s="1"/>
  <c r="E139" i="20"/>
  <c r="F139" i="20" s="1"/>
  <c r="D140" i="20" s="1"/>
  <c r="B235" i="2" l="1"/>
  <c r="B236" i="2" s="1"/>
  <c r="B237" i="2" s="1"/>
  <c r="E140" i="20"/>
  <c r="F140" i="20" s="1"/>
  <c r="D141" i="20" s="1"/>
  <c r="E133" i="13"/>
  <c r="F133" i="13" s="1"/>
  <c r="G132" i="13"/>
  <c r="E237" i="2" l="1"/>
  <c r="B239" i="2"/>
  <c r="B248" i="2" s="1"/>
  <c r="B249" i="2" s="1"/>
  <c r="E239" i="2"/>
  <c r="E68" i="2"/>
  <c r="D134" i="13"/>
  <c r="G133" i="13"/>
  <c r="E141" i="20"/>
  <c r="F141" i="20" s="1"/>
  <c r="B250" i="2" l="1"/>
  <c r="B251" i="2" s="1"/>
  <c r="B253" i="2" s="1"/>
  <c r="B254" i="2" s="1"/>
  <c r="B255" i="2" s="1"/>
  <c r="B257" i="2" s="1"/>
  <c r="B260" i="2" s="1"/>
  <c r="B261" i="2" s="1"/>
  <c r="D142" i="20"/>
  <c r="E134" i="13"/>
  <c r="F134" i="13" s="1"/>
  <c r="E255" i="2" l="1"/>
  <c r="B262" i="2"/>
  <c r="B263" i="2" s="1"/>
  <c r="B264" i="2" s="1"/>
  <c r="D135" i="13"/>
  <c r="G134" i="13"/>
  <c r="E142" i="20"/>
  <c r="F142" i="20" s="1"/>
  <c r="D143" i="20" l="1"/>
  <c r="E143" i="20" s="1"/>
  <c r="F143" i="20" s="1"/>
  <c r="B265" i="2"/>
  <c r="E135" i="13"/>
  <c r="F135" i="13" s="1"/>
  <c r="D272" i="2" l="1"/>
  <c r="B266" i="2"/>
  <c r="B267" i="2" s="1"/>
  <c r="B268" i="2" s="1"/>
  <c r="D136" i="13"/>
  <c r="E136" i="13" s="1"/>
  <c r="F136" i="13" s="1"/>
  <c r="G135" i="13"/>
  <c r="D144" i="20"/>
  <c r="E268" i="2" l="1"/>
  <c r="D273" i="2"/>
  <c r="B270" i="2"/>
  <c r="B271" i="2" s="1"/>
  <c r="D137" i="13"/>
  <c r="G136" i="13"/>
  <c r="E144" i="20"/>
  <c r="F144" i="20" s="1"/>
  <c r="D375" i="2" l="1"/>
  <c r="B272" i="2"/>
  <c r="B273" i="2" s="1"/>
  <c r="D274" i="2" s="1"/>
  <c r="D145" i="20"/>
  <c r="E137" i="13"/>
  <c r="F137" i="13" s="1"/>
  <c r="C16" i="13" l="1"/>
  <c r="C16" i="20"/>
  <c r="B274" i="2"/>
  <c r="C19" i="13"/>
  <c r="C19" i="20"/>
  <c r="D138" i="13"/>
  <c r="G137" i="13"/>
  <c r="E145" i="20"/>
  <c r="F145" i="20" s="1"/>
  <c r="B276" i="2" l="1"/>
  <c r="B77" i="41"/>
  <c r="E213" i="2"/>
  <c r="D199" i="2"/>
  <c r="D146" i="20"/>
  <c r="E138" i="13"/>
  <c r="F138" i="13" s="1"/>
  <c r="D139" i="13" l="1"/>
  <c r="G138" i="13"/>
  <c r="E146" i="20"/>
  <c r="F146" i="20" s="1"/>
  <c r="D147" i="20" l="1"/>
  <c r="E139" i="13"/>
  <c r="F139" i="13" s="1"/>
  <c r="D140" i="13" l="1"/>
  <c r="G139" i="13"/>
  <c r="E147" i="20"/>
  <c r="F147" i="20" s="1"/>
  <c r="D148" i="20" l="1"/>
  <c r="E140" i="13"/>
  <c r="F140" i="13" s="1"/>
  <c r="D141" i="13" l="1"/>
  <c r="G140" i="13"/>
  <c r="E148" i="20"/>
  <c r="F148" i="20" s="1"/>
  <c r="D149" i="20" s="1"/>
  <c r="E149" i="20" l="1"/>
  <c r="F149" i="20" s="1"/>
  <c r="E141" i="13"/>
  <c r="F141" i="13" s="1"/>
  <c r="D142" i="13" l="1"/>
  <c r="G141" i="13"/>
  <c r="D150" i="20"/>
  <c r="E150" i="20" l="1"/>
  <c r="F150" i="20" s="1"/>
  <c r="D151" i="20" s="1"/>
  <c r="E142" i="13"/>
  <c r="F142" i="13" s="1"/>
  <c r="D143" i="13" l="1"/>
  <c r="G142" i="13"/>
  <c r="E151" i="20"/>
  <c r="F151" i="20" s="1"/>
  <c r="D152" i="20" s="1"/>
  <c r="E152" i="20" l="1"/>
  <c r="F152" i="20" s="1"/>
  <c r="E143" i="13"/>
  <c r="F143" i="13" s="1"/>
  <c r="D153" i="20" l="1"/>
  <c r="D144" i="13"/>
  <c r="G143" i="13"/>
  <c r="E144" i="13" l="1"/>
  <c r="F144" i="13" s="1"/>
  <c r="E153" i="20"/>
  <c r="F153" i="20" s="1"/>
  <c r="D154" i="20" l="1"/>
  <c r="D145" i="13"/>
  <c r="G144" i="13"/>
  <c r="E145" i="13" l="1"/>
  <c r="F145" i="13" s="1"/>
  <c r="D146" i="13" s="1"/>
  <c r="E154" i="20"/>
  <c r="F154" i="20" s="1"/>
  <c r="D155" i="20" l="1"/>
  <c r="E155" i="20" s="1"/>
  <c r="F155" i="20" s="1"/>
  <c r="G145" i="13"/>
  <c r="E146" i="13"/>
  <c r="F146" i="13" s="1"/>
  <c r="D147" i="13" s="1"/>
  <c r="G146" i="13" l="1"/>
  <c r="D156" i="20"/>
  <c r="E147" i="13"/>
  <c r="F147" i="13" s="1"/>
  <c r="D148" i="13" l="1"/>
  <c r="G147" i="13"/>
  <c r="E156" i="20"/>
  <c r="F156" i="20" s="1"/>
  <c r="D157" i="20" l="1"/>
  <c r="E157" i="20" s="1"/>
  <c r="F157" i="20" s="1"/>
  <c r="E148" i="13"/>
  <c r="F148" i="13" s="1"/>
  <c r="D149" i="13" s="1"/>
  <c r="D158" i="20" l="1"/>
  <c r="E149" i="13"/>
  <c r="F149" i="13" s="1"/>
  <c r="G148" i="13"/>
  <c r="D150" i="13" l="1"/>
  <c r="G149" i="13"/>
  <c r="E158" i="20"/>
  <c r="F158" i="20" s="1"/>
  <c r="D159" i="20" l="1"/>
  <c r="E159" i="20" s="1"/>
  <c r="F159" i="20" s="1"/>
  <c r="E150" i="13"/>
  <c r="F150" i="13" s="1"/>
  <c r="D151" i="13" l="1"/>
  <c r="G150" i="13"/>
  <c r="E151" i="13" l="1"/>
  <c r="F151" i="13" s="1"/>
  <c r="D152" i="13" l="1"/>
  <c r="G151" i="13"/>
  <c r="E152" i="13" l="1"/>
  <c r="F152" i="13" s="1"/>
  <c r="D153" i="13" s="1"/>
  <c r="E153" i="13" l="1"/>
  <c r="F153" i="13" s="1"/>
  <c r="D154" i="13" s="1"/>
  <c r="G152" i="13"/>
  <c r="E154" i="13" l="1"/>
  <c r="F154" i="13" s="1"/>
  <c r="G153" i="13"/>
  <c r="D155" i="13" l="1"/>
  <c r="G154" i="13"/>
  <c r="E155" i="13" l="1"/>
  <c r="F155" i="13" s="1"/>
  <c r="D156" i="13" l="1"/>
  <c r="G155" i="13"/>
  <c r="E156" i="13" l="1"/>
  <c r="F156" i="13" s="1"/>
  <c r="D157" i="13" l="1"/>
  <c r="E157" i="13" s="1"/>
  <c r="F157" i="13" s="1"/>
  <c r="G156" i="13"/>
  <c r="D158" i="13" l="1"/>
  <c r="G157" i="13"/>
  <c r="E158" i="13" l="1"/>
  <c r="F158" i="13" s="1"/>
  <c r="D159" i="13" l="1"/>
  <c r="G158" i="13"/>
  <c r="E159" i="13" l="1"/>
  <c r="F159" i="13" s="1"/>
  <c r="D160" i="13" l="1"/>
  <c r="G159" i="13"/>
  <c r="E160" i="13" l="1"/>
  <c r="F160" i="13" s="1"/>
  <c r="D161" i="13" l="1"/>
  <c r="G160" i="13"/>
  <c r="E161" i="13" l="1"/>
  <c r="E162" i="13" s="1"/>
  <c r="F161" i="13" l="1"/>
  <c r="G161" i="13" s="1"/>
  <c r="G22" i="41" l="1"/>
  <c r="G21" i="41"/>
  <c r="G20" i="41"/>
  <c r="G19" i="41"/>
  <c r="G18" i="41"/>
  <c r="G17" i="41"/>
  <c r="G16" i="41"/>
  <c r="G15" i="41"/>
  <c r="G14" i="41"/>
  <c r="G13" i="41"/>
  <c r="G12" i="41"/>
  <c r="G11" i="41"/>
  <c r="C23" i="41" l="1"/>
  <c r="L264" i="2" s="1"/>
  <c r="G10" i="41"/>
  <c r="G23" i="41" s="1"/>
  <c r="L268" i="2" l="1"/>
  <c r="G273" i="2" s="1"/>
  <c r="G274" i="2" s="1"/>
  <c r="H271" i="2" s="1"/>
  <c r="H272" i="2" l="1"/>
  <c r="H273" i="2"/>
  <c r="E77" i="41"/>
  <c r="E79" i="41" s="1"/>
  <c r="E80" i="41" s="1"/>
  <c r="E51" i="41" s="1"/>
  <c r="E56" i="41" s="1"/>
  <c r="L261" i="2" s="1"/>
  <c r="D21" i="20"/>
  <c r="D21" i="13"/>
  <c r="D22" i="13" l="1"/>
  <c r="F22" i="13" s="1"/>
  <c r="D22" i="20"/>
  <c r="F22" i="20" s="1"/>
  <c r="I272" i="2"/>
  <c r="D23" i="13"/>
  <c r="F23" i="13" s="1"/>
  <c r="I273" i="2"/>
  <c r="L273" i="2" s="1"/>
  <c r="D23" i="20"/>
  <c r="F23" i="20" s="1"/>
  <c r="E58" i="41"/>
  <c r="J271" i="2" s="1"/>
  <c r="I271" i="2" l="1"/>
  <c r="L271" i="2" s="1"/>
  <c r="E21" i="13"/>
  <c r="F21" i="13" s="1"/>
  <c r="F24" i="13" s="1"/>
  <c r="E29" i="13" s="1"/>
  <c r="E21" i="20"/>
  <c r="F21" i="20" s="1"/>
  <c r="F24" i="20" s="1"/>
  <c r="F29" i="20" s="1"/>
  <c r="L274" i="2" l="1"/>
  <c r="G198" i="2" s="1"/>
  <c r="E35" i="13" l="1"/>
  <c r="L219" i="2"/>
  <c r="G219" i="2"/>
  <c r="F35" i="20"/>
  <c r="G209" i="2" l="1"/>
  <c r="L209" i="2" l="1"/>
  <c r="F39" i="20" l="1"/>
  <c r="E39" i="13"/>
  <c r="G208" i="2" l="1"/>
  <c r="L208" i="2" l="1"/>
  <c r="F38" i="20" l="1"/>
  <c r="E38" i="13"/>
  <c r="G161" i="2" l="1"/>
  <c r="K45" i="48" l="1"/>
  <c r="F43" i="48" l="1"/>
  <c r="D47" i="48"/>
  <c r="D43" i="48" l="1"/>
  <c r="F47" i="48"/>
  <c r="C23" i="48" s="1"/>
  <c r="C22" i="48"/>
  <c r="G43" i="48" l="1"/>
  <c r="G47" i="48" l="1"/>
  <c r="C24" i="48" s="1"/>
  <c r="H43" i="48" l="1"/>
  <c r="G24" i="48"/>
  <c r="H47" i="48" l="1"/>
  <c r="C25" i="48" s="1"/>
  <c r="I47" i="48" l="1"/>
  <c r="G25" i="48"/>
  <c r="I43" i="48" l="1"/>
  <c r="C26" i="48"/>
  <c r="G159" i="2" l="1"/>
  <c r="G165" i="2" s="1"/>
  <c r="J43" i="48" l="1"/>
  <c r="K43" i="48" s="1"/>
  <c r="J47" i="48"/>
  <c r="C27" i="48" s="1"/>
  <c r="L165" i="2"/>
  <c r="K47" i="48" l="1"/>
  <c r="G27" i="48"/>
  <c r="C28" i="48"/>
  <c r="D25" i="48" l="1"/>
  <c r="E25" i="48" s="1"/>
  <c r="H25" i="48" s="1"/>
  <c r="I25" i="48" s="1"/>
  <c r="D23" i="48"/>
  <c r="E23" i="48" s="1"/>
  <c r="D22" i="48"/>
  <c r="E22" i="48" s="1"/>
  <c r="D24" i="48"/>
  <c r="E24" i="48" s="1"/>
  <c r="H24" i="48" s="1"/>
  <c r="I24" i="48" s="1"/>
  <c r="D26" i="48"/>
  <c r="E26" i="48" s="1"/>
  <c r="D27" i="48"/>
  <c r="E27" i="48" s="1"/>
  <c r="G171" i="2" l="1"/>
  <c r="H27" i="48"/>
  <c r="I27" i="48" s="1"/>
  <c r="L171" i="2" l="1"/>
  <c r="G172" i="2"/>
  <c r="G174" i="2" s="1"/>
  <c r="G176" i="2" s="1"/>
  <c r="D23" i="35" l="1"/>
  <c r="G67" i="2" s="1"/>
  <c r="L67" i="2" s="1"/>
  <c r="C23" i="35"/>
  <c r="G66" i="2" s="1"/>
  <c r="G77" i="2" l="1"/>
  <c r="L66" i="2"/>
  <c r="L77" i="2" s="1"/>
  <c r="G94" i="2"/>
  <c r="G100" i="2" s="1"/>
  <c r="E46" i="11" l="1"/>
  <c r="L94" i="2"/>
  <c r="L100" i="2" s="1"/>
  <c r="J77" i="2"/>
  <c r="J100" i="2" l="1"/>
  <c r="J167" i="2"/>
  <c r="L167" i="2" s="1"/>
  <c r="L172" i="2" s="1"/>
  <c r="L174" i="2" s="1"/>
  <c r="L176" i="2" s="1"/>
  <c r="H34" i="30"/>
  <c r="I34" i="30" s="1"/>
  <c r="I33" i="30" s="1"/>
  <c r="J207" i="2"/>
  <c r="L207" i="2" s="1"/>
  <c r="J122" i="2"/>
  <c r="L122" i="2" s="1"/>
  <c r="J124" i="2"/>
  <c r="L124" i="2" s="1"/>
  <c r="J193" i="2"/>
  <c r="L193" i="2" s="1"/>
  <c r="E49" i="11"/>
  <c r="M46" i="11"/>
  <c r="L127" i="2" l="1"/>
  <c r="M49" i="11"/>
  <c r="E51" i="11"/>
  <c r="F37" i="20"/>
  <c r="E37" i="13"/>
  <c r="E53" i="11" l="1"/>
  <c r="M51" i="11"/>
  <c r="E54" i="11" l="1"/>
  <c r="E55" i="11" s="1"/>
  <c r="G54" i="11"/>
  <c r="G55" i="11" s="1"/>
  <c r="G56" i="11" s="1"/>
  <c r="I54" i="11"/>
  <c r="I55" i="11" s="1"/>
  <c r="I56" i="11" s="1"/>
  <c r="M55" i="11" l="1"/>
  <c r="E56" i="11"/>
  <c r="M56" i="11" s="1"/>
  <c r="E57" i="11" s="1"/>
  <c r="G57" i="11" l="1"/>
  <c r="I57" i="11"/>
  <c r="I29" i="30" l="1"/>
  <c r="H30" i="30"/>
  <c r="I30" i="30" s="1"/>
  <c r="J60" i="39"/>
  <c r="J73" i="39" s="1"/>
  <c r="R73" i="39"/>
  <c r="I27" i="30" l="1"/>
  <c r="I25" i="30" s="1"/>
  <c r="L191" i="2" s="1"/>
  <c r="L194" i="2" s="1"/>
  <c r="S73" i="39"/>
  <c r="K60" i="39" l="1"/>
  <c r="K73" i="39" s="1"/>
  <c r="D60" i="39"/>
  <c r="G60" i="39" s="1"/>
  <c r="I60" i="39"/>
  <c r="I73" i="39" s="1"/>
  <c r="Q73" i="39"/>
  <c r="F61" i="39" l="1"/>
  <c r="F73" i="39" s="1"/>
  <c r="E41" i="5"/>
  <c r="E43" i="5"/>
  <c r="I43" i="5" s="1"/>
  <c r="D61" i="39" l="1"/>
  <c r="G61" i="39" s="1"/>
  <c r="G73" i="39" s="1"/>
  <c r="E44" i="5"/>
  <c r="I41" i="5"/>
  <c r="D73" i="39" l="1"/>
  <c r="G107" i="2"/>
  <c r="G109" i="2" s="1"/>
  <c r="G131" i="2" s="1"/>
  <c r="G213" i="2" s="1"/>
  <c r="G206" i="2" s="1"/>
  <c r="G211" i="2" s="1"/>
  <c r="G221" i="2" s="1"/>
  <c r="I44" i="5"/>
  <c r="L107" i="2" s="1"/>
  <c r="L109" i="2" s="1"/>
  <c r="L131" i="2" s="1"/>
  <c r="F28" i="20" l="1"/>
  <c r="F30" i="20" s="1"/>
  <c r="E28" i="13"/>
  <c r="E30" i="13" s="1"/>
  <c r="L213" i="2"/>
  <c r="G49" i="20" l="1"/>
  <c r="F49" i="13"/>
  <c r="L206" i="2"/>
  <c r="L211" i="2" s="1"/>
  <c r="L221" i="2" s="1"/>
  <c r="L13" i="2" s="1"/>
  <c r="E34" i="13"/>
  <c r="E36" i="13" s="1"/>
  <c r="E40" i="13" s="1"/>
  <c r="F57" i="13" s="1"/>
  <c r="F56" i="13"/>
  <c r="G56" i="20"/>
  <c r="F34" i="20"/>
  <c r="F36" i="20" s="1"/>
  <c r="F40" i="20" s="1"/>
  <c r="G57" i="20" s="1"/>
  <c r="G47" i="20" l="1"/>
  <c r="L30" i="2"/>
  <c r="L31" i="2" s="1"/>
  <c r="F47" i="13"/>
  <c r="L37" i="2"/>
  <c r="L20" i="2"/>
  <c r="L34" i="2"/>
  <c r="F50" i="13"/>
  <c r="G50" i="20"/>
  <c r="G70" i="20" l="1"/>
  <c r="I95" i="20" s="1"/>
  <c r="F70" i="13"/>
  <c r="J97" i="13" s="1"/>
  <c r="F51" i="13"/>
  <c r="F55" i="13" s="1"/>
  <c r="F58" i="13" s="1"/>
  <c r="G51" i="20"/>
  <c r="G55" i="20" s="1"/>
  <c r="G58" i="20" s="1"/>
  <c r="G65" i="20" l="1"/>
  <c r="G66" i="20" s="1"/>
  <c r="G60" i="20"/>
  <c r="G68" i="20" s="1"/>
  <c r="G69" i="20" s="1"/>
  <c r="G71" i="20" s="1"/>
  <c r="F65" i="13"/>
  <c r="F66" i="13" s="1"/>
  <c r="F60" i="13"/>
  <c r="F68" i="13" s="1"/>
  <c r="F69" i="13" s="1"/>
  <c r="F71" i="13" s="1"/>
  <c r="H138" i="13"/>
  <c r="H109" i="13"/>
  <c r="M109" i="13" s="1"/>
  <c r="H106" i="13"/>
  <c r="M106" i="13" s="1"/>
  <c r="H143" i="13"/>
  <c r="H118" i="13"/>
  <c r="H134" i="13"/>
  <c r="H161" i="13"/>
  <c r="H153" i="13"/>
  <c r="H160" i="13"/>
  <c r="H112" i="13"/>
  <c r="M112" i="13" s="1"/>
  <c r="H159" i="13"/>
  <c r="H145" i="13"/>
  <c r="H139" i="13"/>
  <c r="H142" i="13"/>
  <c r="H103" i="13"/>
  <c r="M103" i="13" s="1"/>
  <c r="H130" i="13"/>
  <c r="H127" i="13"/>
  <c r="H141" i="13"/>
  <c r="H114" i="13"/>
  <c r="M114" i="13" s="1"/>
  <c r="H147" i="13"/>
  <c r="H104" i="13"/>
  <c r="M104" i="13" s="1"/>
  <c r="H121" i="13"/>
  <c r="H126" i="13"/>
  <c r="H158" i="13"/>
  <c r="H119" i="13"/>
  <c r="H135" i="13"/>
  <c r="H122" i="13"/>
  <c r="H140" i="13"/>
  <c r="H124" i="13"/>
  <c r="H116" i="13"/>
  <c r="H137" i="13"/>
  <c r="H117" i="13"/>
  <c r="H136" i="13"/>
  <c r="H150" i="13"/>
  <c r="H148" i="13"/>
  <c r="H129" i="13"/>
  <c r="H151" i="13"/>
  <c r="H146" i="13"/>
  <c r="H156" i="13"/>
  <c r="H152" i="13"/>
  <c r="J98" i="13"/>
  <c r="H132" i="13"/>
  <c r="H105" i="13"/>
  <c r="M105" i="13" s="1"/>
  <c r="H107" i="13"/>
  <c r="M107" i="13" s="1"/>
  <c r="H125" i="13"/>
  <c r="H115" i="13"/>
  <c r="H131" i="13"/>
  <c r="H111" i="13"/>
  <c r="M111" i="13" s="1"/>
  <c r="H157" i="13"/>
  <c r="H110" i="13"/>
  <c r="M110" i="13" s="1"/>
  <c r="H113" i="13"/>
  <c r="H133" i="13"/>
  <c r="H102" i="13"/>
  <c r="H155" i="13"/>
  <c r="H128" i="13"/>
  <c r="H123" i="13"/>
  <c r="H149" i="13"/>
  <c r="H108" i="13"/>
  <c r="M108" i="13" s="1"/>
  <c r="H144" i="13"/>
  <c r="H154" i="13"/>
  <c r="H120" i="13"/>
  <c r="G108" i="20"/>
  <c r="G116" i="20"/>
  <c r="G155" i="20"/>
  <c r="G101" i="20"/>
  <c r="G144" i="20"/>
  <c r="G130" i="20"/>
  <c r="G132" i="20"/>
  <c r="G153" i="20"/>
  <c r="G145" i="20"/>
  <c r="G156" i="20"/>
  <c r="G112" i="20"/>
  <c r="G119" i="20"/>
  <c r="G114" i="20"/>
  <c r="G122" i="20"/>
  <c r="G136" i="20"/>
  <c r="G115" i="20"/>
  <c r="G143" i="20"/>
  <c r="G109" i="20"/>
  <c r="G129" i="20"/>
  <c r="G121" i="20"/>
  <c r="G107" i="20"/>
  <c r="G123" i="20"/>
  <c r="G103" i="20"/>
  <c r="G159" i="20"/>
  <c r="G133" i="20"/>
  <c r="G135" i="20"/>
  <c r="G138" i="20"/>
  <c r="G157" i="20"/>
  <c r="G127" i="20"/>
  <c r="G137" i="20"/>
  <c r="G120" i="20"/>
  <c r="G146" i="20"/>
  <c r="G104" i="20"/>
  <c r="G128" i="20"/>
  <c r="G139" i="20"/>
  <c r="G111" i="20"/>
  <c r="G106" i="20"/>
  <c r="G152" i="20"/>
  <c r="G141" i="20"/>
  <c r="I96" i="20"/>
  <c r="G100" i="20"/>
  <c r="G131" i="20"/>
  <c r="G117" i="20"/>
  <c r="G110" i="20"/>
  <c r="G140" i="20"/>
  <c r="G142" i="20"/>
  <c r="G150" i="20"/>
  <c r="G154" i="20"/>
  <c r="G105" i="20"/>
  <c r="N87" i="20" s="1"/>
  <c r="M26" i="20" s="1"/>
  <c r="G113" i="20"/>
  <c r="G149" i="20"/>
  <c r="G124" i="20"/>
  <c r="G126" i="20"/>
  <c r="G148" i="20"/>
  <c r="G147" i="20"/>
  <c r="G102" i="20"/>
  <c r="G118" i="20"/>
  <c r="G125" i="20"/>
  <c r="G158" i="20"/>
  <c r="G151" i="20"/>
  <c r="G134" i="20"/>
  <c r="M91" i="13" l="1"/>
  <c r="M113" i="13"/>
  <c r="I145" i="13"/>
  <c r="J145" i="13" s="1"/>
  <c r="I110" i="13"/>
  <c r="I144" i="13"/>
  <c r="J144" i="13" s="1"/>
  <c r="I112" i="13"/>
  <c r="I120" i="13"/>
  <c r="J120" i="13" s="1"/>
  <c r="I127" i="13"/>
  <c r="J127" i="13" s="1"/>
  <c r="I117" i="13"/>
  <c r="J117" i="13" s="1"/>
  <c r="I114" i="13"/>
  <c r="I108" i="13"/>
  <c r="I106" i="13"/>
  <c r="I123" i="13"/>
  <c r="J123" i="13" s="1"/>
  <c r="I142" i="13"/>
  <c r="J142" i="13" s="1"/>
  <c r="I159" i="13"/>
  <c r="J159" i="13" s="1"/>
  <c r="I158" i="13"/>
  <c r="J158" i="13" s="1"/>
  <c r="I134" i="13"/>
  <c r="J134" i="13" s="1"/>
  <c r="I139" i="13"/>
  <c r="J139" i="13" s="1"/>
  <c r="I154" i="13"/>
  <c r="J154" i="13" s="1"/>
  <c r="I103" i="13"/>
  <c r="I161" i="13"/>
  <c r="J161" i="13" s="1"/>
  <c r="I129" i="13"/>
  <c r="J129" i="13" s="1"/>
  <c r="I122" i="13"/>
  <c r="J122" i="13" s="1"/>
  <c r="I156" i="13"/>
  <c r="J156" i="13" s="1"/>
  <c r="I153" i="13"/>
  <c r="J153" i="13" s="1"/>
  <c r="I133" i="13"/>
  <c r="J133" i="13" s="1"/>
  <c r="I124" i="13"/>
  <c r="J124" i="13" s="1"/>
  <c r="I150" i="13"/>
  <c r="J150" i="13" s="1"/>
  <c r="I125" i="13"/>
  <c r="J125" i="13" s="1"/>
  <c r="I119" i="13"/>
  <c r="J119" i="13" s="1"/>
  <c r="I148" i="13"/>
  <c r="J148" i="13" s="1"/>
  <c r="I104" i="13"/>
  <c r="I121" i="13"/>
  <c r="J121" i="13" s="1"/>
  <c r="I132" i="13"/>
  <c r="J132" i="13" s="1"/>
  <c r="I155" i="13"/>
  <c r="J155" i="13" s="1"/>
  <c r="I128" i="13"/>
  <c r="J128" i="13" s="1"/>
  <c r="I102" i="13"/>
  <c r="I131" i="13"/>
  <c r="J131" i="13" s="1"/>
  <c r="I116" i="13"/>
  <c r="J116" i="13" s="1"/>
  <c r="I138" i="13"/>
  <c r="J138" i="13" s="1"/>
  <c r="I130" i="13"/>
  <c r="J130" i="13" s="1"/>
  <c r="I141" i="13"/>
  <c r="J141" i="13" s="1"/>
  <c r="I109" i="13"/>
  <c r="I149" i="13"/>
  <c r="J149" i="13" s="1"/>
  <c r="I135" i="13"/>
  <c r="J135" i="13" s="1"/>
  <c r="I147" i="13"/>
  <c r="J147" i="13" s="1"/>
  <c r="I157" i="13"/>
  <c r="J157" i="13" s="1"/>
  <c r="I118" i="13"/>
  <c r="J118" i="13" s="1"/>
  <c r="I151" i="13"/>
  <c r="J151" i="13" s="1"/>
  <c r="I140" i="13"/>
  <c r="J140" i="13" s="1"/>
  <c r="I143" i="13"/>
  <c r="J143" i="13" s="1"/>
  <c r="I136" i="13"/>
  <c r="J136" i="13" s="1"/>
  <c r="I126" i="13"/>
  <c r="J126" i="13" s="1"/>
  <c r="I146" i="13"/>
  <c r="J146" i="13" s="1"/>
  <c r="I115" i="13"/>
  <c r="J115" i="13" s="1"/>
  <c r="I111" i="13"/>
  <c r="I137" i="13"/>
  <c r="J137" i="13" s="1"/>
  <c r="I105" i="13"/>
  <c r="I160" i="13"/>
  <c r="J160" i="13" s="1"/>
  <c r="I113" i="13"/>
  <c r="I152" i="13"/>
  <c r="J152" i="13" s="1"/>
  <c r="I107" i="13"/>
  <c r="G160" i="20"/>
  <c r="H154" i="20"/>
  <c r="I154" i="20" s="1"/>
  <c r="H118" i="20"/>
  <c r="I118" i="20" s="1"/>
  <c r="H107" i="20"/>
  <c r="I107" i="20" s="1"/>
  <c r="H116" i="20"/>
  <c r="I116" i="20" s="1"/>
  <c r="H122" i="20"/>
  <c r="I122" i="20" s="1"/>
  <c r="H148" i="20"/>
  <c r="I148" i="20" s="1"/>
  <c r="H135" i="20"/>
  <c r="I135" i="20" s="1"/>
  <c r="H124" i="20"/>
  <c r="I124" i="20" s="1"/>
  <c r="H129" i="20"/>
  <c r="I129" i="20" s="1"/>
  <c r="H119" i="20"/>
  <c r="I119" i="20" s="1"/>
  <c r="H137" i="20"/>
  <c r="I137" i="20" s="1"/>
  <c r="H138" i="20"/>
  <c r="I138" i="20" s="1"/>
  <c r="H153" i="20"/>
  <c r="I153" i="20" s="1"/>
  <c r="H112" i="20"/>
  <c r="I112" i="20" s="1"/>
  <c r="H125" i="20"/>
  <c r="I125" i="20" s="1"/>
  <c r="H103" i="20"/>
  <c r="I103" i="20" s="1"/>
  <c r="H109" i="20"/>
  <c r="I109" i="20" s="1"/>
  <c r="H143" i="20"/>
  <c r="I143" i="20" s="1"/>
  <c r="H150" i="20"/>
  <c r="I150" i="20" s="1"/>
  <c r="H130" i="20"/>
  <c r="I130" i="20" s="1"/>
  <c r="H134" i="20"/>
  <c r="I134" i="20" s="1"/>
  <c r="H108" i="20"/>
  <c r="I108" i="20" s="1"/>
  <c r="H140" i="20"/>
  <c r="I140" i="20" s="1"/>
  <c r="H106" i="20"/>
  <c r="I106" i="20" s="1"/>
  <c r="H159" i="20"/>
  <c r="I159" i="20" s="1"/>
  <c r="H149" i="20"/>
  <c r="I149" i="20" s="1"/>
  <c r="H120" i="20"/>
  <c r="I120" i="20" s="1"/>
  <c r="H152" i="20"/>
  <c r="I152" i="20" s="1"/>
  <c r="H139" i="20"/>
  <c r="I139" i="20" s="1"/>
  <c r="H157" i="20"/>
  <c r="I157" i="20" s="1"/>
  <c r="H156" i="20"/>
  <c r="I156" i="20" s="1"/>
  <c r="H117" i="20"/>
  <c r="I117" i="20" s="1"/>
  <c r="H110" i="20"/>
  <c r="I110" i="20" s="1"/>
  <c r="H123" i="20"/>
  <c r="I123" i="20" s="1"/>
  <c r="H147" i="20"/>
  <c r="I147" i="20" s="1"/>
  <c r="H115" i="20"/>
  <c r="I115" i="20" s="1"/>
  <c r="H155" i="20"/>
  <c r="I155" i="20" s="1"/>
  <c r="H104" i="20"/>
  <c r="I104" i="20" s="1"/>
  <c r="H142" i="20"/>
  <c r="I142" i="20" s="1"/>
  <c r="H136" i="20"/>
  <c r="I136" i="20" s="1"/>
  <c r="H100" i="20"/>
  <c r="H127" i="20"/>
  <c r="I127" i="20" s="1"/>
  <c r="H113" i="20"/>
  <c r="I113" i="20" s="1"/>
  <c r="H141" i="20"/>
  <c r="I141" i="20" s="1"/>
  <c r="H101" i="20"/>
  <c r="I101" i="20" s="1"/>
  <c r="H132" i="20"/>
  <c r="I132" i="20" s="1"/>
  <c r="H145" i="20"/>
  <c r="I145" i="20" s="1"/>
  <c r="H102" i="20"/>
  <c r="I102" i="20" s="1"/>
  <c r="H158" i="20"/>
  <c r="I158" i="20" s="1"/>
  <c r="H146" i="20"/>
  <c r="I146" i="20" s="1"/>
  <c r="H131" i="20"/>
  <c r="I131" i="20" s="1"/>
  <c r="H144" i="20"/>
  <c r="I144" i="20" s="1"/>
  <c r="H114" i="20"/>
  <c r="I114" i="20" s="1"/>
  <c r="H105" i="20"/>
  <c r="H126" i="20"/>
  <c r="I126" i="20" s="1"/>
  <c r="H111" i="20"/>
  <c r="I111" i="20" s="1"/>
  <c r="H121" i="20"/>
  <c r="I121" i="20" s="1"/>
  <c r="H133" i="20"/>
  <c r="I133" i="20" s="1"/>
  <c r="H128" i="20"/>
  <c r="I128" i="20" s="1"/>
  <c r="H151" i="20"/>
  <c r="I151" i="20" s="1"/>
  <c r="M102" i="13"/>
  <c r="H162" i="13"/>
  <c r="J114" i="13" l="1"/>
  <c r="O114" i="13"/>
  <c r="P114" i="13" s="1"/>
  <c r="I100" i="20"/>
  <c r="H160" i="20"/>
  <c r="J111" i="13"/>
  <c r="O111" i="13"/>
  <c r="P111" i="13" s="1"/>
  <c r="J104" i="13"/>
  <c r="O104" i="13"/>
  <c r="P104" i="13" s="1"/>
  <c r="J107" i="13"/>
  <c r="O107" i="13"/>
  <c r="P107" i="13" s="1"/>
  <c r="O112" i="13"/>
  <c r="P112" i="13" s="1"/>
  <c r="J112" i="13"/>
  <c r="I105" i="20"/>
  <c r="N88" i="20"/>
  <c r="I162" i="13"/>
  <c r="O102" i="13"/>
  <c r="P102" i="13" s="1"/>
  <c r="J102" i="13"/>
  <c r="O113" i="13"/>
  <c r="P113" i="13" s="1"/>
  <c r="J113" i="13"/>
  <c r="N91" i="13"/>
  <c r="O103" i="13"/>
  <c r="P103" i="13" s="1"/>
  <c r="J103" i="13"/>
  <c r="J106" i="13"/>
  <c r="O106" i="13"/>
  <c r="P106" i="13" s="1"/>
  <c r="O110" i="13"/>
  <c r="P110" i="13" s="1"/>
  <c r="J110" i="13"/>
  <c r="J109" i="13"/>
  <c r="O109" i="13"/>
  <c r="P109" i="13" s="1"/>
  <c r="O108" i="13"/>
  <c r="P108" i="13" s="1"/>
  <c r="J108" i="13"/>
  <c r="J105" i="13"/>
  <c r="O105" i="13"/>
  <c r="P105" i="13" s="1"/>
  <c r="N22" i="13"/>
  <c r="M92" i="13"/>
  <c r="J162" i="13" l="1"/>
  <c r="N26" i="20"/>
  <c r="O26" i="20" s="1"/>
  <c r="N89" i="20"/>
  <c r="G27" i="2"/>
  <c r="L27" i="2" s="1"/>
  <c r="N23" i="13"/>
  <c r="O22" i="13"/>
  <c r="N92" i="13"/>
  <c r="O91" i="13"/>
  <c r="O92" i="13" s="1"/>
  <c r="I160" i="20"/>
  <c r="O23" i="13" l="1"/>
  <c r="P22" i="13"/>
  <c r="P23" i="13" s="1"/>
  <c r="L39" i="2" s="1"/>
  <c r="H23" i="48" l="1"/>
  <c r="G23" i="48"/>
  <c r="I23" i="48" s="1"/>
  <c r="G22" i="48" l="1"/>
  <c r="I22" i="48" s="1"/>
  <c r="H22" i="48"/>
  <c r="G26" i="48" l="1"/>
  <c r="G28" i="48" s="1"/>
  <c r="H26" i="48"/>
  <c r="I26" i="48" l="1"/>
  <c r="I28" i="48" s="1"/>
  <c r="H28" i="48"/>
</calcChain>
</file>

<file path=xl/sharedStrings.xml><?xml version="1.0" encoding="utf-8"?>
<sst xmlns="http://schemas.openxmlformats.org/spreadsheetml/2006/main" count="2565" uniqueCount="1351">
  <si>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</si>
  <si>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</si>
  <si>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</si>
  <si>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</si>
  <si>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</si>
  <si>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</si>
  <si>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</si>
  <si>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</si>
  <si>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</si>
  <si>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</si>
  <si>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</si>
  <si>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</si>
  <si>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</si>
  <si>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</si>
  <si>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</si>
  <si>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</si>
  <si>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</si>
  <si>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</si>
  <si>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</si>
  <si>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</si>
  <si>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</si>
  <si>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</si>
  <si>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</si>
  <si>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</si>
  <si>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</si>
  <si>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</si>
  <si>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</si>
  <si>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</si>
  <si>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</si>
  <si>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</si>
  <si>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</si>
  <si>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</si>
  <si>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</si>
  <si>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</si>
  <si>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</si>
  <si>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</si>
  <si>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</si>
  <si>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</si>
  <si>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</si>
  <si>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</si>
  <si>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</si>
  <si>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</si>
  <si>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</si>
  <si>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</si>
  <si>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</si>
  <si>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</si>
  <si>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</si>
  <si>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</si>
  <si>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</si>
  <si>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</si>
  <si>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</si>
  <si>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</si>
  <si>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</si>
  <si>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</si>
  <si>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</si>
  <si>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</si>
  <si>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</si>
  <si>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</si>
  <si>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</si>
  <si>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</si>
  <si>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</si>
  <si>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</si>
  <si>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</si>
  <si>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</si>
  <si>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</si>
  <si>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</si>
  <si>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</si>
  <si>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</si>
  <si>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</si>
  <si>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</si>
  <si>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</si>
  <si>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</si>
  <si>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</si>
  <si>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</si>
  <si>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</si>
  <si>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</si>
  <si>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</si>
  <si>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</si>
  <si>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</si>
  <si>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</si>
  <si>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</si>
  <si>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</si>
  <si>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</si>
  <si>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</si>
  <si>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</si>
  <si>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</si>
  <si>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</si>
  <si>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</si>
  <si>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</si>
  <si>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</si>
  <si>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</si>
  <si>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</si>
  <si>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</si>
  <si>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</si>
  <si>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</si>
  <si>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</si>
  <si>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</si>
  <si>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</si>
  <si>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</si>
  <si>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</si>
  <si>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</si>
  <si>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</si>
  <si>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</si>
  <si>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</si>
  <si>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</si>
  <si>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</si>
  <si>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</si>
  <si>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</si>
  <si>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</si>
  <si>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</si>
  <si>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</si>
  <si>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</si>
  <si>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</si>
  <si>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</si>
  <si>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</si>
  <si>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</si>
  <si>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</si>
  <si>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</si>
  <si>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</si>
  <si>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</si>
  <si>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</si>
  <si>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</si>
  <si>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</si>
  <si>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</si>
  <si>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</si>
  <si>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</si>
  <si>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</si>
  <si>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</si>
  <si>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</si>
  <si>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</si>
  <si>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</si>
  <si>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</si>
  <si>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</si>
  <si>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</si>
  <si>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</si>
  <si>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</si>
  <si>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</si>
  <si>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</si>
  <si>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</si>
  <si>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</si>
  <si>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</si>
  <si>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</si>
  <si>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</si>
  <si>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</si>
  <si>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</si>
  <si>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</si>
  <si>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</si>
  <si>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</si>
  <si>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</si>
  <si>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</si>
  <si>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</si>
  <si>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</si>
  <si>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</si>
  <si>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</si>
  <si>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</si>
  <si>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</si>
  <si>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</si>
  <si>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</si>
  <si>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</si>
  <si>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</si>
  <si>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</si>
  <si>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</si>
  <si>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</si>
  <si>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</si>
  <si>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</si>
  <si>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</si>
  <si>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</si>
  <si>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</si>
  <si>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</si>
  <si>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</si>
  <si>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</si>
  <si>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</si>
  <si>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</si>
  <si>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</si>
  <si>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</si>
  <si>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</si>
  <si>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</si>
  <si>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</si>
  <si>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</si>
  <si>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</si>
  <si>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</si>
  <si>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</si>
  <si>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</si>
  <si>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</si>
  <si>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</si>
  <si>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</si>
  <si>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</si>
  <si>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</si>
  <si>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</si>
  <si>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</si>
  <si>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</si>
  <si>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</si>
  <si>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</si>
  <si>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</si>
  <si>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</si>
  <si>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</si>
  <si>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</si>
  <si>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</si>
  <si>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</si>
  <si>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</si>
  <si>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</si>
  <si>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</si>
  <si>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</si>
  <si>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</si>
  <si>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</si>
  <si>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</si>
  <si>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</si>
  <si>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</si>
  <si>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</si>
  <si>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</si>
  <si>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</si>
  <si>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</si>
  <si>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</si>
  <si>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</si>
  <si>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</si>
  <si>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</si>
  <si>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</si>
  <si>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</si>
  <si>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</si>
  <si>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</si>
  <si>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</si>
  <si>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</si>
  <si>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</si>
  <si>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</si>
  <si>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</si>
  <si>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</si>
  <si>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</si>
  <si>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</si>
  <si>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</si>
  <si>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</si>
  <si>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</si>
  <si>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</si>
  <si>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</si>
  <si>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</si>
  <si>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</si>
  <si>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</si>
  <si>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</si>
  <si>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</si>
  <si>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</si>
  <si>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</si>
  <si>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</si>
  <si>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</si>
  <si>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</si>
  <si>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</si>
  <si>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</si>
  <si>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</si>
  <si>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</si>
  <si>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</si>
  <si>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</si>
  <si>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</si>
  <si>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</si>
  <si>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</si>
  <si>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</si>
  <si>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</si>
  <si>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</si>
  <si>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</si>
  <si>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</si>
  <si>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</si>
  <si>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</si>
  <si>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</si>
  <si>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</si>
  <si>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</si>
  <si>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</si>
  <si>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</si>
  <si>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</si>
  <si>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</si>
  <si>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</si>
  <si>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</si>
  <si>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</si>
  <si>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</si>
  <si>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</si>
  <si>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</si>
  <si>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</si>
  <si>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</si>
  <si>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</si>
  <si>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</si>
  <si>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</si>
  <si>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</si>
  <si>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</si>
  <si>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</si>
  <si>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</si>
  <si>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</si>
  <si>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</si>
  <si>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</si>
  <si>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</si>
  <si>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</si>
  <si>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</si>
  <si>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</si>
  <si>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</si>
  <si>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</si>
  <si>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</si>
  <si>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</si>
  <si>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</si>
  <si>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</si>
  <si>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</si>
  <si>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</si>
  <si>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</si>
  <si>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</si>
  <si>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</si>
  <si>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</si>
  <si>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</si>
  <si>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</si>
  <si>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</si>
  <si>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</si>
  <si>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</si>
  <si>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</si>
  <si>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</si>
  <si>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</si>
  <si>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</si>
  <si>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</si>
  <si>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</si>
  <si>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</si>
  <si>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</si>
  <si>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</si>
  <si>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</si>
  <si>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</si>
  <si>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</si>
  <si>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</si>
  <si>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</si>
  <si>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</si>
  <si>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</si>
  <si>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</si>
  <si>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</si>
  <si>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</si>
  <si>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</si>
  <si>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</si>
  <si>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</si>
  <si>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</si>
  <si>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</si>
  <si>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</si>
  <si>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</si>
  <si>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</si>
  <si>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</si>
  <si>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</si>
  <si>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</si>
  <si>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</si>
  <si>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</si>
  <si>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</si>
  <si>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</si>
  <si>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</si>
  <si>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</si>
  <si>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</si>
  <si>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</si>
  <si>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</si>
  <si>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</si>
  <si>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</si>
  <si>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</si>
  <si>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</si>
  <si>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</si>
  <si>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</si>
  <si>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</si>
  <si>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</si>
  <si>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</si>
  <si>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</si>
  <si>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</si>
  <si>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</si>
  <si>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</si>
  <si>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</si>
  <si>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</si>
  <si>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</si>
  <si>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</si>
  <si>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</si>
  <si>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</si>
  <si>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</si>
  <si>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</si>
  <si>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</si>
  <si>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</si>
  <si>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</si>
  <si>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</si>
  <si>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</si>
  <si>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</si>
  <si>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</si>
  <si>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</si>
  <si>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</si>
  <si>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</si>
  <si>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</si>
  <si>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</si>
  <si>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</si>
  <si>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</si>
  <si>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</si>
  <si>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</si>
  <si>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</si>
  <si>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</si>
  <si>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</si>
  <si>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</si>
  <si>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</si>
  <si>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</si>
  <si>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</si>
  <si>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</si>
  <si>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</si>
  <si>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</si>
  <si>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</si>
  <si>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</si>
  <si>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</si>
  <si>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</si>
  <si>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</si>
  <si>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</si>
  <si>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</si>
  <si>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</si>
  <si>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</si>
  <si>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</si>
  <si>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</si>
  <si>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</si>
  <si>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</si>
  <si>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</si>
  <si>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</si>
  <si>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</si>
  <si>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</si>
  <si>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</si>
  <si>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</si>
  <si>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</si>
  <si>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</si>
  <si>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</si>
  <si>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</si>
  <si>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</si>
  <si>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</si>
  <si>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</si>
  <si>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</si>
  <si>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</si>
  <si>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</si>
  <si>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</si>
  <si>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</si>
  <si>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</si>
  <si>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</si>
  <si>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</si>
  <si>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</si>
  <si>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</si>
  <si>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</si>
  <si>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</si>
  <si>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</si>
  <si>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</si>
  <si>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</si>
  <si>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</si>
  <si>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</si>
  <si>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</si>
  <si>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</si>
  <si>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</si>
  <si>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</si>
  <si>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</si>
  <si>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</si>
  <si>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</si>
  <si>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</si>
  <si>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</si>
  <si>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</si>
  <si>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</si>
  <si>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</si>
  <si>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</si>
  <si>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</si>
  <si>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</si>
  <si>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</si>
  <si>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</si>
  <si>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</si>
  <si>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</si>
  <si>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</si>
  <si>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</si>
  <si>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</si>
  <si>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</si>
  <si>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</si>
  <si>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</si>
  <si>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</si>
  <si>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</si>
  <si>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</si>
  <si>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</si>
  <si>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</si>
  <si>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</si>
  <si>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</si>
  <si>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</si>
  <si>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</si>
  <si>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</si>
  <si>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</si>
  <si>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</si>
  <si>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</si>
  <si>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</si>
  <si>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</si>
  <si>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</si>
  <si>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</si>
  <si>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</si>
  <si>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</si>
  <si>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</si>
  <si>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</si>
  <si>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</si>
  <si>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</si>
  <si>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</si>
  <si>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</si>
  <si>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</si>
  <si>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</si>
  <si>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</si>
  <si>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</si>
  <si>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</si>
  <si>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</si>
  <si>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</si>
  <si>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</si>
  <si>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</si>
  <si>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</si>
  <si>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</si>
  <si>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</si>
  <si>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</si>
  <si>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</si>
  <si>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</si>
  <si>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</si>
  <si>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</si>
  <si>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</si>
  <si>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</si>
  <si>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</si>
  <si>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</si>
  <si>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</si>
  <si>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</si>
  <si>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</si>
  <si>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</si>
  <si>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</si>
  <si>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</si>
  <si>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</si>
  <si>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</si>
  <si>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</si>
  <si>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</si>
  <si>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</si>
  <si>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</si>
  <si>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</si>
  <si>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</si>
  <si>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</si>
  <si>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</si>
  <si>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</si>
  <si>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</si>
  <si>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</si>
  <si>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</si>
  <si>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</si>
  <si>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</si>
  <si>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</si>
  <si>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</si>
  <si>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</si>
  <si>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</si>
  <si>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</si>
  <si>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</si>
  <si>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</si>
  <si>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</si>
  <si>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</si>
  <si>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</si>
  <si>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</si>
  <si>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</si>
  <si>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</si>
  <si>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</si>
  <si>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</si>
  <si>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</si>
  <si>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</si>
  <si>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</si>
  <si>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</si>
  <si>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</si>
  <si>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</si>
  <si>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</si>
  <si>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</si>
  <si>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</si>
  <si>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</si>
  <si>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</si>
  <si>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</si>
  <si>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</si>
  <si>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</si>
  <si>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</si>
  <si>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</si>
  <si>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</si>
  <si>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</si>
  <si>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</si>
  <si>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</si>
  <si>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</si>
  <si>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</si>
  <si>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</si>
  <si>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</si>
  <si>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</si>
  <si>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</si>
  <si>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</si>
  <si>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</si>
  <si>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</si>
  <si>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</si>
  <si>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</si>
  <si>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</si>
  <si>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</si>
  <si>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</si>
  <si>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</si>
  <si>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</si>
  <si>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</si>
  <si>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</si>
  <si>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</si>
  <si>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</si>
  <si>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</si>
  <si>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</si>
  <si>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</si>
  <si>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</si>
  <si>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</si>
  <si>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</si>
  <si>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</si>
  <si>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</si>
  <si>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</si>
  <si>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</si>
  <si>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</si>
  <si>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Real and Personal Property - Tennessee</t>
  </si>
  <si>
    <t>Real and Personal Property - West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</si>
  <si>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</si>
  <si>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</si>
  <si>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</si>
  <si>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</si>
  <si>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</si>
  <si>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</si>
  <si>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</si>
  <si>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</si>
  <si>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  Land Rights - Va.</t>
  </si>
  <si>
    <t xml:space="preserve">  Energy Storage Equip</t>
  </si>
  <si>
    <t xml:space="preserve">  Overhead Conductor</t>
  </si>
  <si>
    <t xml:space="preserve">(4)  </t>
  </si>
  <si>
    <t xml:space="preserve">(5)  </t>
  </si>
  <si>
    <t>Attachment H-14B, Part II, pg. 15 of 21.</t>
  </si>
  <si>
    <t xml:space="preserve">(6)  </t>
  </si>
  <si>
    <t>APCo falls under the authority of Virginia, West Virginia and the FERC.  Therefore, APCo's rates are a composite of the jurisdictions under which it operates. Each jurisdictions' rate is multiplied by an allocation factor, and the product for each jurisdiction is added with the other jurisdictions to derive the composite rate for the company.</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</si>
  <si>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</si>
  <si>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</si>
  <si>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</si>
  <si>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</si>
  <si>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</si>
  <si>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</si>
  <si>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</si>
  <si>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</si>
  <si>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</si>
  <si>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</si>
  <si>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</si>
  <si>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</si>
  <si>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</si>
  <si>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</si>
  <si>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</si>
  <si>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</si>
  <si>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</si>
  <si>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</si>
  <si>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</si>
  <si>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</si>
  <si>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</si>
  <si>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</si>
  <si>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</si>
  <si>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</si>
  <si>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</si>
  <si>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</si>
  <si>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</si>
  <si>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</si>
  <si>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</si>
  <si>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</si>
  <si>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</si>
  <si>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</si>
  <si>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</si>
  <si>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</si>
  <si>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</si>
  <si>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</si>
  <si>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</si>
  <si>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</si>
  <si>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</si>
  <si>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</si>
  <si>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</si>
  <si>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</si>
  <si>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</si>
  <si>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</si>
  <si>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</si>
  <si>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</si>
  <si>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</si>
  <si>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</si>
  <si>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</si>
  <si>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</si>
  <si>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</si>
  <si>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</si>
  <si>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</si>
  <si>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</si>
  <si>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</si>
  <si>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</si>
  <si>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</si>
  <si>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</si>
  <si>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</si>
  <si>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</si>
  <si>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</si>
  <si>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</si>
  <si>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</si>
  <si>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</si>
  <si>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</si>
  <si>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</si>
  <si>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</si>
  <si>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</si>
  <si>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</si>
  <si>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</si>
  <si>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</si>
  <si>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</si>
  <si>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</si>
  <si>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</si>
  <si>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</si>
  <si>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</si>
  <si>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</si>
  <si>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</si>
  <si>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</si>
  <si>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</si>
  <si>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</si>
  <si>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</si>
  <si>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</si>
  <si>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</si>
  <si>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</si>
  <si>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</si>
  <si>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</si>
  <si>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</si>
  <si>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</si>
  <si>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</si>
  <si>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</si>
  <si>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</si>
  <si>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</si>
  <si>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</si>
  <si>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</si>
  <si>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</si>
  <si>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</si>
  <si>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</si>
  <si>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</si>
  <si>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</si>
  <si>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</si>
  <si>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</si>
  <si>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</si>
  <si>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</si>
  <si>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</si>
  <si>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</si>
  <si>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</si>
  <si>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</si>
  <si>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</si>
  <si>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</si>
  <si>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</si>
  <si>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</si>
  <si>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</si>
  <si>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</si>
  <si>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</si>
  <si>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</si>
  <si>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</si>
  <si>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</si>
  <si>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</si>
  <si>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</si>
  <si>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</si>
  <si>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</si>
  <si>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</si>
  <si>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</si>
  <si>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</si>
  <si>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</si>
  <si>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</si>
  <si>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</si>
  <si>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</si>
  <si>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</si>
  <si>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</si>
  <si>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</si>
  <si>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</si>
  <si>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</si>
  <si>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</si>
  <si>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</si>
  <si>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</si>
  <si>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</si>
  <si>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</si>
  <si>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</si>
  <si>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</si>
  <si>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</si>
  <si>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</si>
  <si>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</si>
  <si>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</si>
  <si>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</si>
  <si>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</si>
  <si>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</si>
  <si>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</si>
  <si>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</si>
  <si>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</si>
  <si>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</si>
  <si>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</si>
  <si>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</si>
  <si>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</si>
  <si>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</si>
  <si>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</si>
  <si>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</si>
  <si>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</si>
  <si>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</si>
  <si>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 xml:space="preserve">  (4) The rates approved for each jurisdiction are updated when approved by that commission.  These demand-based allocation factors for all jurisdictions are updated when new rates are approved in one of the jurisdictions.  These allocation factors reflect I&amp;M's 12 monthly Coincident Peaks during test year of the most recent rate case.</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</si>
  <si>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</si>
  <si>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</si>
  <si>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</si>
  <si>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EFFECTIVE AS OF 09/1/2016</t>
  </si>
  <si>
    <t>FOR SINGLE JURISDICTION COMPANIES</t>
  </si>
  <si>
    <t>KINGSPORT POWER COMPANY</t>
  </si>
  <si>
    <t xml:space="preserve">  Composite Transmission Depreciation Rate</t>
  </si>
  <si>
    <t>Reference:</t>
  </si>
  <si>
    <t>Note 1:   Rates Approved In Tennessee Regulatory Authority Docket No. 16-00001.</t>
  </si>
  <si>
    <t>Note 2:  Kingsport Power Company does not have investment in plant accounts 357 or 358.  Therefore, there are no depreciation rates approved for these plant accounts.</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</si>
  <si>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</si>
  <si>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</si>
  <si>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</si>
  <si>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</si>
  <si>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</si>
  <si>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</si>
  <si>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</si>
  <si>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</si>
  <si>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</si>
  <si>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</si>
  <si>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</si>
  <si>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</si>
  <si>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</si>
  <si>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</si>
  <si>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</si>
  <si>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General Note:</t>
  </si>
  <si>
    <t>WHEELING POWER COMPANY</t>
  </si>
  <si>
    <t>-</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</si>
  <si>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</si>
  <si>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</si>
  <si>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</si>
  <si>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</si>
  <si>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</si>
  <si>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</si>
  <si>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</si>
  <si>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</si>
  <si>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</si>
  <si>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</si>
  <si>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</si>
  <si>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</si>
  <si>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</si>
  <si>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</si>
  <si>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</si>
  <si>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</si>
  <si>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</si>
  <si>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</si>
  <si>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</si>
  <si>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</si>
  <si>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</si>
  <si>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</si>
  <si>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</si>
  <si>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</si>
  <si>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</si>
  <si>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</si>
  <si>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</si>
  <si>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</si>
  <si>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</si>
  <si>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</si>
  <si>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</si>
  <si>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</si>
  <si>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</si>
  <si>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</si>
  <si>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</si>
  <si>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</si>
  <si>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</si>
  <si>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</si>
  <si>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</si>
  <si>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</si>
  <si>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</si>
  <si>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</si>
  <si>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</si>
  <si>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</si>
  <si>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</si>
  <si>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</si>
  <si>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</si>
  <si>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</si>
  <si>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</si>
  <si>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</si>
  <si>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</si>
  <si>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</si>
  <si>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</si>
  <si>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</si>
  <si>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</si>
  <si>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</si>
  <si>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</si>
  <si>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Accum Prv I/D Worker's Com</t>
  </si>
  <si>
    <t>1650001</t>
  </si>
  <si>
    <t>Prepaid Insurance</t>
  </si>
  <si>
    <t>1650010</t>
  </si>
  <si>
    <t>Prepaid Pension Benefits</t>
  </si>
  <si>
    <t>1650014</t>
  </si>
  <si>
    <t>FAS 158 Qual Contra Asset</t>
  </si>
  <si>
    <t>Prepaid Insurance - EIS</t>
  </si>
  <si>
    <t>9280000</t>
  </si>
  <si>
    <t>Regulatory Commission Exp</t>
  </si>
  <si>
    <t>9302000</t>
  </si>
  <si>
    <t>Misc General Expenses</t>
  </si>
  <si>
    <t>9302003</t>
  </si>
  <si>
    <t>Corporate &amp; Fiscal Expenses</t>
  </si>
  <si>
    <t>9302004</t>
  </si>
  <si>
    <t>Research, Develop&amp;Demonstr Exp</t>
  </si>
  <si>
    <t>9302007</t>
  </si>
  <si>
    <t>Assoc Business Development Exp</t>
  </si>
  <si>
    <t>West Virginia Corporate Income Tax</t>
  </si>
  <si>
    <t>Illinois Corporation Income Tax</t>
  </si>
  <si>
    <t>Michigan Business Income Tax</t>
  </si>
  <si>
    <t>Kentucky Business Income Tax</t>
  </si>
  <si>
    <t>Ohio Municipal Net Income Tax</t>
  </si>
  <si>
    <t>Ohio Franchise Tax Rate</t>
  </si>
  <si>
    <t>WEST VA JURISDICTION</t>
  </si>
  <si>
    <t>Real and Personal Property - Other</t>
  </si>
  <si>
    <t>OPCo Worksheet J -  ATRR PROJECTED Calculation for PJM Projects Charged to Benefiting Zones</t>
  </si>
  <si>
    <t>No</t>
  </si>
  <si>
    <r>
      <t xml:space="preserve">## </t>
    </r>
    <r>
      <rPr>
        <b/>
        <sz val="10"/>
        <rFont val="Arial"/>
        <family val="2"/>
      </rPr>
      <t>This is the calculation of  additional incentive revenue on projects deemed by the FERC to be eligible for an incentive return.  This</t>
    </r>
  </si>
  <si>
    <t>Prepaid Taxes</t>
  </si>
  <si>
    <t>1650021</t>
  </si>
  <si>
    <t>Prefunded Pension Expense</t>
  </si>
  <si>
    <t>RTEP ID: b1864.2 (West Bellaire-Brues 138kV Circuit)</t>
  </si>
  <si>
    <t>SFAS 158 Offsett</t>
  </si>
  <si>
    <t>EIS Insurance</t>
  </si>
  <si>
    <t>Medical Benefits</t>
  </si>
  <si>
    <t>Muni B&amp;O Tax</t>
  </si>
  <si>
    <t>RTEP ID:  B1864.2 (West Bellaire-Brues 138kV Circuit)</t>
  </si>
  <si>
    <t>Capital Structure Equity Limit (Note Z)</t>
  </si>
  <si>
    <t>Capital Structure Percentages</t>
  </si>
  <si>
    <t>Cap Limit</t>
  </si>
  <si>
    <t>Z</t>
  </si>
  <si>
    <t xml:space="preserve">Per the settlement in EL17-13, equity is limited to 55% in of the Company's capital structure.  If the percentage of actual equity exceeds the cap, the excess is included as long term debt in the capital structure.  </t>
  </si>
  <si>
    <t>9280001</t>
  </si>
  <si>
    <t>9280002</t>
  </si>
  <si>
    <t>9280005</t>
  </si>
  <si>
    <t>Regulatory Commission Exp-Adm</t>
  </si>
  <si>
    <t>Regulatory Commission Exp-Case</t>
  </si>
  <si>
    <t>Reg Com Exp-FERC Trans Cases</t>
  </si>
  <si>
    <t>9301001</t>
  </si>
  <si>
    <t>9301012</t>
  </si>
  <si>
    <t>Newspaper Advertising Space</t>
  </si>
  <si>
    <t>Public Opinion Surveys</t>
  </si>
  <si>
    <t>TX AMORT POLLUTION CONT EQPT</t>
  </si>
  <si>
    <t xml:space="preserve">NON-UTILITY DEFERRED FIT </t>
  </si>
  <si>
    <t>SFAS 109 FLOW-THRU 281.3</t>
  </si>
  <si>
    <t>SFAS 109 EXCESS DFIT 281.4</t>
  </si>
  <si>
    <t>SFAS 109 FLOW-THRU 282.3</t>
  </si>
  <si>
    <t>SFAS 109 EXCESS DFIT 282.4</t>
  </si>
  <si>
    <t>SFAS 109 FLOW-THRU 283.3</t>
  </si>
  <si>
    <t>SFAS 109 EXCESS DFIT 283.4</t>
  </si>
  <si>
    <t>SFAS 133 ADIT FED - SFAS 133 NONAFFIL 2830006</t>
  </si>
  <si>
    <t>SFAS 109 - DEFD STATE INCOME TAXES</t>
  </si>
  <si>
    <t>DEFERRED ITC - 46(F)(1)</t>
  </si>
  <si>
    <t>SFAS 133 ADIT FED - Non-UMWA PRW OCI 1900011</t>
  </si>
  <si>
    <t>ADIT FED - PENSION OCI NAF 1900009</t>
  </si>
  <si>
    <t>2282003</t>
  </si>
  <si>
    <t>Rate Case Amort</t>
  </si>
  <si>
    <t xml:space="preserve"> GENERAL PLANT</t>
  </si>
  <si>
    <t>Transportation Equipment</t>
  </si>
  <si>
    <t>Power Operated Equipment</t>
  </si>
  <si>
    <t>WHEELING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</si>
  <si>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</si>
  <si>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</si>
  <si>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</si>
  <si>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</si>
  <si>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</si>
  <si>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</si>
  <si>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</si>
  <si>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</si>
  <si>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</si>
  <si>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Description of Account</t>
  </si>
  <si>
    <t>Protected
Unprotected</t>
  </si>
  <si>
    <t>Tax Rate Change Act</t>
  </si>
  <si>
    <t>Amotization Period</t>
  </si>
  <si>
    <t>Balance Sheet Account Reclassifications</t>
  </si>
  <si>
    <t>410/411 Deferred Tax Expense/ (Benefit)</t>
  </si>
  <si>
    <t>Reference</t>
  </si>
  <si>
    <t>Sum of Cols (I) - (O)</t>
  </si>
  <si>
    <t>Deferred Tax Account (NOTE B)</t>
  </si>
  <si>
    <t>1a</t>
  </si>
  <si>
    <r>
      <t>190</t>
    </r>
    <r>
      <rPr>
        <sz val="9"/>
        <color rgb="FFFF0000"/>
        <rFont val="Arial"/>
        <family val="2"/>
      </rPr>
      <t>4</t>
    </r>
    <r>
      <rPr>
        <sz val="9"/>
        <rFont val="Arial"/>
        <family val="2"/>
      </rPr>
      <t>001</t>
    </r>
  </si>
  <si>
    <t xml:space="preserve">ADFIT - FAS 109 Excess </t>
  </si>
  <si>
    <t>TCJA 2017</t>
  </si>
  <si>
    <t>1b</t>
  </si>
  <si>
    <r>
      <t>281</t>
    </r>
    <r>
      <rPr>
        <sz val="9"/>
        <color rgb="FFFF0000"/>
        <rFont val="Arial"/>
        <family val="2"/>
      </rPr>
      <t>1</t>
    </r>
    <r>
      <rPr>
        <sz val="9"/>
        <rFont val="Arial"/>
        <family val="2"/>
      </rPr>
      <t>001</t>
    </r>
  </si>
  <si>
    <t>ADFIT - Accel Amortization Property</t>
  </si>
  <si>
    <t>Protected</t>
  </si>
  <si>
    <t>1c</t>
  </si>
  <si>
    <r>
      <t>281</t>
    </r>
    <r>
      <rPr>
        <sz val="9"/>
        <color rgb="FFFF0000"/>
        <rFont val="Arial"/>
        <family val="2"/>
      </rPr>
      <t>4</t>
    </r>
    <r>
      <rPr>
        <sz val="9"/>
        <rFont val="Arial"/>
        <family val="2"/>
      </rPr>
      <t>001</t>
    </r>
  </si>
  <si>
    <t>ADFIT - Accel Amort FAS 109 Excess</t>
  </si>
  <si>
    <t>1d</t>
  </si>
  <si>
    <r>
      <t>282</t>
    </r>
    <r>
      <rPr>
        <sz val="9"/>
        <color rgb="FFFF0000"/>
        <rFont val="Arial"/>
        <family val="2"/>
      </rPr>
      <t>1</t>
    </r>
    <r>
      <rPr>
        <sz val="9"/>
        <rFont val="Arial"/>
        <family val="2"/>
      </rPr>
      <t>001</t>
    </r>
  </si>
  <si>
    <t>ADFIT - Utility Property</t>
  </si>
  <si>
    <t>ARAM</t>
  </si>
  <si>
    <t>Life of Asset</t>
  </si>
  <si>
    <t>1e</t>
  </si>
  <si>
    <t>Unprotected</t>
  </si>
  <si>
    <t>10 Years</t>
  </si>
  <si>
    <t>1/2018 - 12/2027</t>
  </si>
  <si>
    <t>1f</t>
  </si>
  <si>
    <r>
      <t>282</t>
    </r>
    <r>
      <rPr>
        <sz val="9"/>
        <color rgb="FFFF0000"/>
        <rFont val="Arial"/>
        <family val="2"/>
      </rPr>
      <t>4</t>
    </r>
    <r>
      <rPr>
        <sz val="9"/>
        <rFont val="Arial"/>
        <family val="2"/>
      </rPr>
      <t>001</t>
    </r>
  </si>
  <si>
    <t>ADFIT - Utility Property FAS 109 Excess</t>
  </si>
  <si>
    <t>1g</t>
  </si>
  <si>
    <t>1h</t>
  </si>
  <si>
    <r>
      <t>283</t>
    </r>
    <r>
      <rPr>
        <sz val="9"/>
        <color rgb="FFFF0000"/>
        <rFont val="Arial"/>
        <family val="2"/>
      </rPr>
      <t>1</t>
    </r>
    <r>
      <rPr>
        <sz val="9"/>
        <rFont val="Arial"/>
        <family val="2"/>
      </rPr>
      <t>001</t>
    </r>
  </si>
  <si>
    <t>ADFIT - Other Utility Deferrals</t>
  </si>
  <si>
    <t>1i</t>
  </si>
  <si>
    <r>
      <t>283</t>
    </r>
    <r>
      <rPr>
        <sz val="9"/>
        <color rgb="FFFF0000"/>
        <rFont val="Arial"/>
        <family val="2"/>
      </rPr>
      <t>4</t>
    </r>
    <r>
      <rPr>
        <sz val="9"/>
        <rFont val="Arial"/>
        <family val="2"/>
      </rPr>
      <t>001</t>
    </r>
  </si>
  <si>
    <t>ADFIT - Other FAS 109 Excess</t>
  </si>
  <si>
    <t>1j</t>
  </si>
  <si>
    <t>Regulatory Deferral Accounts</t>
  </si>
  <si>
    <t>2a</t>
  </si>
  <si>
    <t xml:space="preserve">Regulatory Asset  </t>
  </si>
  <si>
    <t xml:space="preserve"> Company Records</t>
  </si>
  <si>
    <t>2b</t>
  </si>
  <si>
    <t>Regulatory Liability</t>
  </si>
  <si>
    <t>2c</t>
  </si>
  <si>
    <t>TRANSMISSION FUNCTION BALANCES</t>
  </si>
  <si>
    <t>4a</t>
  </si>
  <si>
    <t>4b</t>
  </si>
  <si>
    <t>4c</t>
  </si>
  <si>
    <t>4d</t>
  </si>
  <si>
    <t>4e</t>
  </si>
  <si>
    <t>4f</t>
  </si>
  <si>
    <t>4g</t>
  </si>
  <si>
    <t>4h</t>
  </si>
  <si>
    <t>5c</t>
  </si>
  <si>
    <t>NOTE A</t>
  </si>
  <si>
    <t>NOTE B:</t>
  </si>
  <si>
    <t>The amount of the FIT gross up to recorded on regulatory assets and liabilities will be reported on the first line of ADIT accounts provided for each specific change in tax rates.</t>
  </si>
  <si>
    <t>NOTE C:</t>
  </si>
  <si>
    <t>NOTE D:</t>
  </si>
  <si>
    <t>NOTE E:</t>
  </si>
  <si>
    <t>NOTE E</t>
  </si>
  <si>
    <t>GENERAL NOTE:  ADIT Tax balances provided in the formula presented in Attachment H-14B are maintained on both a total company and transmission functional basis. Because both sets of numbers are presented in the formula, the information for excess and deficient ADIT is also presented for both total company and the transmission function on this worksheet.  Account 281 only applies to the generation function, so is not presented in the transmission functional summary.</t>
  </si>
  <si>
    <t>NOTE F:</t>
  </si>
  <si>
    <t>9280003</t>
  </si>
  <si>
    <t>Muni Business &amp; Occupation Tax</t>
  </si>
  <si>
    <t>State B&amp;O Tax</t>
  </si>
  <si>
    <t>WS B - 1 Col C/D, ADIT item 2.06</t>
  </si>
  <si>
    <t>2018 Forecasted Revenue Requirement For Year 2018</t>
  </si>
  <si>
    <t>An over or under collection will be recovered prorata over 2018, held for 2019 and returned prorate over 2020</t>
  </si>
  <si>
    <t>Other Prepayments</t>
  </si>
  <si>
    <t>WS B - 1 Cols M+N+O , ADIT Item 5.24</t>
  </si>
  <si>
    <t>WS B - 1 Col N, ADIT Item 5.24</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</si>
  <si>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</si>
  <si>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</si>
  <si>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</si>
  <si>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</si>
  <si>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</si>
  <si>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</si>
  <si>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</si>
  <si>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</si>
  <si>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53c</t>
  </si>
  <si>
    <t>Accm Prv I/D - Asbestos - Curr</t>
  </si>
  <si>
    <t>Accm Prv I/D - Asbestos</t>
  </si>
  <si>
    <t>2282011</t>
  </si>
  <si>
    <t>2282012</t>
  </si>
  <si>
    <t>EFFECTIVE AS OF MARCH 11, 2020</t>
  </si>
  <si>
    <t>(1) As approved in Indiana Cause No. 45235 effective March 11, 2020.</t>
  </si>
  <si>
    <t>(2) As approved in Michigan Case No. U-20359 effective February 1, 2020.</t>
  </si>
  <si>
    <t>(3) FERC wholesale formula rate agreements specify that the depreciation rates in the formula rates change upon approval of MPSC rates in the Michigan jurisdiction.</t>
  </si>
  <si>
    <t>1650006</t>
  </si>
  <si>
    <t>1650035</t>
  </si>
  <si>
    <t>PRW Without MED-D Benefits</t>
  </si>
  <si>
    <t>1650037</t>
  </si>
  <si>
    <t>FAS158 Contra-PRW Exclud Med-D</t>
  </si>
  <si>
    <t>Accum Defd Property FIT - TBBS 282.6</t>
  </si>
  <si>
    <t>Accum Defd Other FIT-TBBS 283.6</t>
  </si>
  <si>
    <t>Appalachian Power Company</t>
  </si>
  <si>
    <t>NOL ADJUSTMENT</t>
  </si>
  <si>
    <t>NOL CONTRA</t>
  </si>
  <si>
    <t>Accum Deferred SIT - Excess</t>
  </si>
  <si>
    <t xml:space="preserve">Long Term Debt cost rate = long-term interest (ln 145) /average long term debt (ln 154). Preferred Stock cost rate = preferred dividends (ln 146) /preferred outstanding (ln 155). </t>
  </si>
  <si>
    <t xml:space="preserve">Common Stock cost rate (ROE) = 10.35%, per the settlement in FERC Docket No. EL17-13. It includes an additional 50 basis points for PJM RTO membership. </t>
  </si>
  <si>
    <t>The amount of eligible hedging gains or losses included in total interest expense is limited to five basis points of the capital structure. Details and calculations of the weighted average cost of capital are shown on Worksheet M. Eligible Hedging Gains and Losses are computed on Worksheet M. The unamortized balance of eligible hedge gains/losses and related ADIT amounts shall not flow through the formula rate.</t>
  </si>
  <si>
    <t>AEP EAST OPERATING COMPANIES</t>
  </si>
  <si>
    <t>Docket ER20-1886-000</t>
  </si>
  <si>
    <t>Compliance Filing</t>
  </si>
  <si>
    <t>ATTACHMENT H-14B</t>
  </si>
  <si>
    <t>Attachment 4</t>
  </si>
  <si>
    <t>WORKSHEET B-3-A</t>
  </si>
  <si>
    <t>Page 6 of 6</t>
  </si>
  <si>
    <t>TAX REMEASUREMENT WORKSHEET</t>
  </si>
  <si>
    <t>TAX CUT and JOBS ACT of  2017</t>
  </si>
  <si>
    <t>k</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</si>
  <si>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</si>
  <si>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</si>
  <si>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</si>
  <si>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</si>
  <si>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</si>
  <si>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</si>
  <si>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</si>
  <si>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</si>
  <si>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</si>
  <si>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</si>
  <si>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</si>
  <si>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</si>
  <si>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</si>
  <si>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1901001</t>
  </si>
  <si>
    <t>2018 FF1 P. 234 Col (b) Line 8</t>
  </si>
  <si>
    <t>2811001</t>
  </si>
  <si>
    <t>2018 FF1 P. 272 Col (b) Line 8</t>
  </si>
  <si>
    <t>2821001</t>
  </si>
  <si>
    <t>2018 FF1 P. 274 Col (b) Line 5</t>
  </si>
  <si>
    <t xml:space="preserve">Unprotected </t>
  </si>
  <si>
    <t>283 - Utility</t>
  </si>
  <si>
    <t>2018 FF1 P. 276 Col (b) Line 9</t>
  </si>
  <si>
    <t>Less: Accrued Deferred State Tax</t>
  </si>
  <si>
    <t>2831001</t>
  </si>
  <si>
    <t>(Sum of Lns. 1+2+3+6)</t>
  </si>
  <si>
    <t>TRANSMISSION FUNCTION</t>
  </si>
  <si>
    <t>(Sum of Lns. 9+10+11)</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</si>
  <si>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</si>
  <si>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</si>
  <si>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</si>
  <si>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</si>
  <si>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</si>
  <si>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</si>
  <si>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</si>
  <si>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</si>
  <si>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Company's Workpaper B-3, Column F, showing the intial remeasurement value determined as a result of the Tax Cut and Jobs Act of 2017.</t>
  </si>
  <si>
    <t xml:space="preserve">In order to ensure rate base neutrality, AEP utilizes the fourth digit of its seven digit FERC Tax subaccount numbers to identify balances associated with utility operations vs regulatory reporting requirements.  A "1" in the fourth digit of a FERC deferred tax account refers to the utility operations balance or entry.  Accounts with the "1" designation will be included in the determination of rate 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 base, but at the total FERC account level the tax asset or liability will be recorded at the current Federal FIT rate.  The amounts recorded in 4 will be offset on a net basis in the regulatory asset or liability account established for this purpose. </t>
  </si>
  <si>
    <t xml:space="preserve">The ten year amortization period for unprotected excess ADIT is consistent with the period agreed upon by the Company and its customers and approved for the Company's PJM formula rates. Appalachian Power Company, et al, 166 FERC ¶ 61,135 (2019). </t>
  </si>
  <si>
    <t>In the event of future tax rate changes, additional lines will be inserted as required to reflect any new ADIT or regulatory deferral accounts that may be necessary to track that tax rate change.</t>
  </si>
  <si>
    <t>The amount of excess amortization entries shown in lines 1a through 1_  are shown as a debit or credit to the ADIT account from which it is being amortized.  The total in line # is the offset as charged to the 410/411 account. This total amount of amortization is then reported in line 24a of the TCOS.</t>
  </si>
  <si>
    <t xml:space="preserve">Deficient remeasurement amounts will be recorded in 410.1 as a debit (expense) to cost of service,, excess remeasurement amounts will be recorded in 411.1 as credit to cost of service. </t>
  </si>
  <si>
    <t>NOTE D</t>
  </si>
  <si>
    <t>Utility Account (NOTE A)</t>
  </si>
  <si>
    <t xml:space="preserve">Excess / Deficient Balance at Remeasurement </t>
  </si>
  <si>
    <t>Amortization Methodology (NOTE C)</t>
  </si>
  <si>
    <t>Excess / Deficient ADIT Regulatory  Offset</t>
  </si>
  <si>
    <t>Excess / Deficient ADIT in Utility Deferrals</t>
  </si>
  <si>
    <t xml:space="preserve">410/411 Excess / Deficient Amortization NOTE C/NOTE F
</t>
  </si>
  <si>
    <t>Excess/ Deficient ADIT Regulatory  Offset</t>
  </si>
  <si>
    <t>Excess /  Deficient ADIT in Utility Deferrals</t>
  </si>
  <si>
    <t>182.3</t>
  </si>
  <si>
    <r>
      <t>190</t>
    </r>
    <r>
      <rPr>
        <sz val="9"/>
        <color rgb="FFFF0000"/>
        <rFont val="Arial"/>
        <family val="2"/>
      </rPr>
      <t>4</t>
    </r>
    <r>
      <rPr>
        <sz val="9"/>
        <rFont val="Arial"/>
        <family val="2"/>
      </rPr>
      <t>002</t>
    </r>
  </si>
  <si>
    <r>
      <t>283</t>
    </r>
    <r>
      <rPr>
        <sz val="9"/>
        <color rgb="FFFF0000"/>
        <rFont val="Arial"/>
        <family val="2"/>
      </rPr>
      <t>4</t>
    </r>
    <r>
      <rPr>
        <sz val="9"/>
        <rFont val="Arial"/>
        <family val="2"/>
      </rPr>
      <t>002</t>
    </r>
  </si>
  <si>
    <t>ADFIT - FBOS</t>
  </si>
  <si>
    <t>WS B - 2 Col C/D, ADIT item 2.55/2.56</t>
  </si>
  <si>
    <t>WS B - 1 Col C/D, ADIT Item 5.29</t>
  </si>
  <si>
    <t>WS B - 1 Cols M+N+O , ADIT Item 9.41</t>
  </si>
  <si>
    <t>WS B - 1 Col C/D, ADIT Item 9.46</t>
  </si>
  <si>
    <t>WS B - 1 Cols N , ADIT Item 9.41</t>
  </si>
  <si>
    <r>
      <t>283</t>
    </r>
    <r>
      <rPr>
        <sz val="9"/>
        <color rgb="FFFF0000"/>
        <rFont val="Arial"/>
        <family val="2"/>
      </rPr>
      <t>1</t>
    </r>
    <r>
      <rPr>
        <sz val="9"/>
        <rFont val="Arial"/>
        <family val="2"/>
      </rPr>
      <t>002</t>
    </r>
  </si>
  <si>
    <t xml:space="preserve">ADSIT - Other </t>
  </si>
  <si>
    <t>WVHB2026</t>
  </si>
  <si>
    <t>1k</t>
  </si>
  <si>
    <t>1l</t>
  </si>
  <si>
    <t>1m</t>
  </si>
  <si>
    <t>1n</t>
  </si>
  <si>
    <t>Regulatory Liability - State Excess ADFIT</t>
  </si>
  <si>
    <t>2d</t>
  </si>
  <si>
    <t>FBOS</t>
  </si>
  <si>
    <t>4i</t>
  </si>
  <si>
    <t>4j</t>
  </si>
  <si>
    <t>4k</t>
  </si>
  <si>
    <t>4l</t>
  </si>
  <si>
    <t>5d</t>
  </si>
  <si>
    <t>254</t>
  </si>
  <si>
    <t>WORKSHEET-B-3-B</t>
  </si>
  <si>
    <t xml:space="preserve">WV House Bill 2026 - Revision of the WV Tax Apportionment Methodolgy from three Factor to One Factor </t>
  </si>
  <si>
    <t>2021 Pre-remeasurement Balance</t>
  </si>
  <si>
    <t>2831002</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</si>
  <si>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</si>
  <si>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</si>
  <si>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</si>
  <si>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</si>
  <si>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</si>
  <si>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</si>
  <si>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</si>
  <si>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t>
  </si>
  <si>
    <t>Ln 9</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</si>
  <si>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</si>
  <si>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</si>
  <si>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</si>
  <si>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</si>
  <si>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WEST VIRGINIA POWER COMPANY</t>
  </si>
  <si>
    <t>State Publ Serv CommissionFees</t>
  </si>
  <si>
    <t>General Advertising Expenses</t>
  </si>
  <si>
    <t>1650041</t>
  </si>
  <si>
    <t>Prepaid Regulatory Fees</t>
  </si>
  <si>
    <t>EFFECTIVE AS OF 1/1/2023</t>
  </si>
  <si>
    <t xml:space="preserve">  (1) As stated in the order in VA Case No. in Case No. PUR-2020-00015, depreciation rates should be implemented at the time depreciation study is preformed.  This is the final update made to depreciation rates as a result of the order issued in PUR-2023-00002.</t>
  </si>
  <si>
    <t xml:space="preserve">Transmission allocation factors are changed annually in January based on </t>
  </si>
  <si>
    <t>September factors as per the PJM tariff approved in FERC Docket ER08-1329</t>
  </si>
  <si>
    <t xml:space="preserve">        Depreciation rates were made effective January 1, 2023.</t>
  </si>
  <si>
    <t xml:space="preserve">(7)  </t>
  </si>
  <si>
    <t>Initial depreciation rates for the jurisdictional shares of CCR/ELG investment at Amos and Mountaineer approved in VA Case No. PUR-2020-00015 and WV Case No. 20-1040-E-CN.</t>
  </si>
  <si>
    <t>EFFECTIVE AS OF 12/1/2021</t>
  </si>
  <si>
    <t xml:space="preserve">Note 1:   No change in Transmission plant depreciation rates which were established in </t>
  </si>
  <si>
    <t>OPCo and CSP's FERC Commission Order in Docket No EC11-37-000.</t>
  </si>
  <si>
    <t>EFFECTIVE AS OF 3/6/2019</t>
  </si>
  <si>
    <t>Note 1:  Approved by PSC of WV Order dated 2/27/2019 in Case No. 18-0645-E-D effective 03/06/2019.</t>
  </si>
  <si>
    <t>Phase-out Factor</t>
  </si>
  <si>
    <t>Apportionment Factor - Note 1</t>
  </si>
  <si>
    <t>3091 - TAX CREDIT C/F W DEF TAX</t>
  </si>
  <si>
    <t>3094 - CAMT CREDIT C/F W Def Tax</t>
  </si>
  <si>
    <t>3501 - TAX CREDIT C/F - DEF TAX ASSET(OLD)</t>
  </si>
  <si>
    <t>4041 - NOL - DEFERRED TAX ASSET RECLASS</t>
  </si>
  <si>
    <t>7002 - CUST ADV for Construction</t>
  </si>
  <si>
    <t>7021 - PROVS POSS REV REFDS-A/L</t>
  </si>
  <si>
    <t>7027 - INSURANCE PREMIUMS ACCRUED</t>
  </si>
  <si>
    <t>7029 - PROV WORKER'S COMP</t>
  </si>
  <si>
    <t>7034 - SUPPLEMENTAL EXECUTIVE RETIREMENT PLAN</t>
  </si>
  <si>
    <t>7035 - ACCRD SUP EXEC RETIR PLAN COSTS-SFAS 158</t>
  </si>
  <si>
    <t>7036 - ACCRD BK SUP. SAVINGS PLAN EXP</t>
  </si>
  <si>
    <t>7037 - ACCRUED PSI PLAN EXP</t>
  </si>
  <si>
    <t>7040 - BK PROV UNCOLL ACCTS - ST</t>
  </si>
  <si>
    <t>7048 - ACCRD COMPANYWIDE INCENTV PLAN</t>
  </si>
  <si>
    <t>7052 - ACCRUED BOOK VACATION PAY</t>
  </si>
  <si>
    <t>7055 - (ICDP)-INCENTIVE COMP DEFERRAL PLAN</t>
  </si>
  <si>
    <t>7097 - FICA - NON-CUURENT</t>
  </si>
  <si>
    <t>7100 - DEFD REV - SAN ANGELO SETTLEMENT</t>
  </si>
  <si>
    <t>7104 - ADVANCE RENTAL INC (CUR MO)</t>
  </si>
  <si>
    <t>7108 - DEFD REV-BONUS LEASE SHORT-TERM</t>
  </si>
  <si>
    <t>7109 - DEFD REV-BONUS LEASE LONG-TERM</t>
  </si>
  <si>
    <t>7110 - REG LIAB-UNREAL MTM GAIN-DEFL</t>
  </si>
  <si>
    <t>7575 - ACCRD SFAS 106 PST RETIRE EXP</t>
  </si>
  <si>
    <t>7580 - ACCRD SFAS 112 PST EMPLOY BEN</t>
  </si>
  <si>
    <t>7581 - ACCRD BOOK ARO EXPENSE - SFAS 143</t>
  </si>
  <si>
    <t>7584 - BOOK OPERATING LEASE - LIAB</t>
  </si>
  <si>
    <t>8016 - STOCK BASED COMP-CAREER SHARES</t>
  </si>
  <si>
    <t>8053 - SFAS 106 PST RETIRE EXP - NON-DEDUCT CONT</t>
  </si>
  <si>
    <t>8060 - IRS AUDIT SETTLEMENT</t>
  </si>
  <si>
    <t>8062 - RESTRICTED STOCK PLAN</t>
  </si>
  <si>
    <t>6025 - PT Repairs UOP - WV NORM</t>
  </si>
  <si>
    <t>7008 - SW-OVER RECOVERY FUEL COST</t>
  </si>
  <si>
    <t>7526 - Prepaid Regulatory Fees</t>
  </si>
  <si>
    <t>3520 - DSIT-AMOS U3/MITCHELL PLANT TRSF</t>
  </si>
  <si>
    <t>4002 - WV POLLUTION CONTROL ADJUSTMENT</t>
  </si>
  <si>
    <t>7078 - FEDERAL MITIGATION PROGRAMS</t>
  </si>
  <si>
    <t>7079 - STATE MITIGATION PROGRAMS</t>
  </si>
  <si>
    <t>7559 - REG ASSET-NBV-ARO-RETIRED PLANTS</t>
  </si>
  <si>
    <t>8013 - MARK &amp; SPREAD-DEFL-190-A/L</t>
  </si>
  <si>
    <t>8017 - PROV-TRADING CREDIT RISK - A/L</t>
  </si>
  <si>
    <t>8018 - PROV-FAS 157 - A/L</t>
  </si>
  <si>
    <t>7589 - ACCRD SIT TX RESERVE-LNG-TERM-FIN 48</t>
  </si>
  <si>
    <t>2006 - 282-ACCUM DEFD FEDERAL TBBS ADJ</t>
  </si>
  <si>
    <t>2010 - EXCESS ADFIT 282 - PROTECTED.</t>
  </si>
  <si>
    <t>2011 - EXCESS ADFIT 282 - UNPROTECTED.</t>
  </si>
  <si>
    <t>6002 - PT AFUDC Debt - NORM</t>
  </si>
  <si>
    <t>6004 - PT ARO - NORM</t>
  </si>
  <si>
    <t>6006 - PT Basis Adj - NORM</t>
  </si>
  <si>
    <t>6007 - PT CIAC - NORM</t>
  </si>
  <si>
    <t>6011 - PT CPI - NORM</t>
  </si>
  <si>
    <t>6018 - PT Method/Life - NORM</t>
  </si>
  <si>
    <t>6021 - PT R&amp;D Adjustment - NORM</t>
  </si>
  <si>
    <t>6022 - PT Relocation Cost - NORM</t>
  </si>
  <si>
    <t>6024 - PT Repairs UOP - NORM</t>
  </si>
  <si>
    <t>6026 - PT Software - NORM</t>
  </si>
  <si>
    <t>6028 - EFB Basis Adj - NORM</t>
  </si>
  <si>
    <t>6503 - 2021 280H 481(a)</t>
  </si>
  <si>
    <t>6523 - 2020 712L 481(a) Software</t>
  </si>
  <si>
    <t>7585 - BOOK OPERATING LEASE - ASSET</t>
  </si>
  <si>
    <t>6019 - PT Plant Acquisition Adj - NORM</t>
  </si>
  <si>
    <t>2007 - 283-ACCUM DEFD FEDERAL TBBS ADJ</t>
  </si>
  <si>
    <t>2012 - EXCESS ADFIT 283 - UNPROTECTED.</t>
  </si>
  <si>
    <t>4017 - NOL-STATE C/F-DEF TAX ASSET-L/T - KY</t>
  </si>
  <si>
    <t>4021 - NOL-STATE C/F-DEF TAX ASSET-L/T - MI</t>
  </si>
  <si>
    <t>7026 - MTM BK GAIN-A/L-TAX DEFL</t>
  </si>
  <si>
    <t>7032 - ACCRUED BK PENSION EXPENSE</t>
  </si>
  <si>
    <t>7033 - ACCRUED BK PENSION COSTS - SFAS 158</t>
  </si>
  <si>
    <t>7085 - DEFD STORM DAMAGE</t>
  </si>
  <si>
    <t>7094 - Accrued COVID-19 Incremental Costs - non-TX</t>
  </si>
  <si>
    <t>7137 - REG ASSET-SFAS 158 - PENSIONS</t>
  </si>
  <si>
    <t>7138 - REG ASSET-SFAS 158 - SERP</t>
  </si>
  <si>
    <t>7423 - REG ASSET-FERC Formula Rates Under Recvr</t>
  </si>
  <si>
    <t>7583 - SFAS 106 - MEDICARE SUBSIDY - (PPACA)-REG ASSET</t>
  </si>
  <si>
    <t>7593 - REG ASSET-ACCRUED SFAS 112</t>
  </si>
  <si>
    <t>8004 - PROPERTY TAX-Book - NORM</t>
  </si>
  <si>
    <t>7470 - REG ASSET-WV MRBC Surcharge Under Recov</t>
  </si>
  <si>
    <t>7501 - REG ASSET-Beneficial Electrification Prg</t>
  </si>
  <si>
    <t>7576 - DEFD SFAS 106 BOOK COSTS</t>
  </si>
  <si>
    <t>2005 - EXCESS DSIT - UNPROTECTED WV</t>
  </si>
  <si>
    <t>7114 - REG ASSET-SFAS 143 - ARO</t>
  </si>
  <si>
    <t>7009 - SW-UNDER RECOVERY FUEL COST</t>
  </si>
  <si>
    <t>7103 - BOOK &gt; TAX BASIS - EMA-A/C 283</t>
  </si>
  <si>
    <t>7307 - REG ASSET-REGULATORY ADJ-MITCHELL PLANT</t>
  </si>
  <si>
    <t>7478 - REG ASSET-WV ECS Under Recovery</t>
  </si>
  <si>
    <t>7524 - REG ASSET-Under-rec Fuel Cost-ENEC-LT</t>
  </si>
  <si>
    <t>7527 - Accrued Regulatory Fees</t>
  </si>
  <si>
    <t>8012 - MARK &amp; SPREAD-DEFL-283-A/L</t>
  </si>
  <si>
    <t>DEFERRED SIT  1901002</t>
  </si>
  <si>
    <t>pg. 263, Ln. 1(l)</t>
  </si>
  <si>
    <t>pg. 263, Ln. 10(l)</t>
  </si>
  <si>
    <t>165000222</t>
  </si>
  <si>
    <t>165000223</t>
  </si>
  <si>
    <t>Energy Storage Materials &amp; Supplies</t>
  </si>
  <si>
    <t>FF1, p. 227, ln 10.1, Col. (c) &amp; (b)</t>
  </si>
  <si>
    <t>Energy Storage</t>
  </si>
  <si>
    <t>Energy Storage ARO</t>
  </si>
  <si>
    <t>(k)</t>
  </si>
  <si>
    <t>(l)</t>
  </si>
  <si>
    <t>FF1, page 207 Col.(g) &amp; pg. 206 Col. (b), ln 84.14</t>
  </si>
  <si>
    <t>FF1, page 207 Col.(g) &amp; pg. 206 Col. (b), ln 84.13</t>
  </si>
  <si>
    <t>FF1, page 219, ln 27.1, Col. (b)</t>
  </si>
  <si>
    <t>Excluded Energy Storage Plant  - Plant In Service</t>
  </si>
  <si>
    <t>Excluded Energy Storage Plant  - Accumulated Depreciation</t>
  </si>
  <si>
    <t>59a</t>
  </si>
  <si>
    <t xml:space="preserve">  Energy Storage Materials &amp; Supplies (Note BB)</t>
  </si>
  <si>
    <t>(Worksheet C, ln 2a.(F))</t>
  </si>
  <si>
    <t>ES</t>
  </si>
  <si>
    <t>135a</t>
  </si>
  <si>
    <t>ENERGY STORAGE PLANT INCLUDED IN PJM TARIFF</t>
  </si>
  <si>
    <t>135b</t>
  </si>
  <si>
    <r>
      <t xml:space="preserve">   </t>
    </r>
    <r>
      <rPr>
        <sz val="12"/>
        <rFont val="Arial"/>
        <family val="2"/>
      </rPr>
      <t xml:space="preserve">Total Energy Storage Plant </t>
    </r>
  </si>
  <si>
    <t>(page 2, line 27a, column 3)</t>
  </si>
  <si>
    <t>135c</t>
  </si>
  <si>
    <r>
      <t xml:space="preserve">   </t>
    </r>
    <r>
      <rPr>
        <sz val="12"/>
        <rFont val="Arial"/>
        <family val="2"/>
      </rPr>
      <t>Less Energy Storage Plant excuded from PJM Tariff (Note</t>
    </r>
    <r>
      <rPr>
        <b/>
        <sz val="12"/>
        <rFont val="Arial"/>
        <family val="2"/>
      </rPr>
      <t xml:space="preserve"> AA)</t>
    </r>
  </si>
  <si>
    <t>(Worksheet A ln 42.(f))</t>
  </si>
  <si>
    <t>135d</t>
  </si>
  <si>
    <r>
      <t xml:space="preserve">   </t>
    </r>
    <r>
      <rPr>
        <sz val="12"/>
        <rFont val="Arial"/>
        <family val="2"/>
      </rPr>
      <t>Energy Storage plant included in PJM Tariff</t>
    </r>
  </si>
  <si>
    <t>(line 135b less line 135c)</t>
  </si>
  <si>
    <t>135e</t>
  </si>
  <si>
    <t>Percentage of Energy Storage plant included in PJM Tariff</t>
  </si>
  <si>
    <t>(line 135d divided by line 135b)</t>
  </si>
  <si>
    <t>ES=</t>
  </si>
  <si>
    <t>139a</t>
  </si>
  <si>
    <t xml:space="preserve">  Energy Storage</t>
  </si>
  <si>
    <t>354.22.1.b</t>
  </si>
  <si>
    <t>AA</t>
  </si>
  <si>
    <t>Removes energy storage plant not recovered in transmission rates as demonstrated on supporting workpaper or footnote to the Form 1, if applicable.</t>
  </si>
  <si>
    <t>BB</t>
  </si>
  <si>
    <t>Identified in Form 1 as being only energy storage related. The amount reported on Form 1 page 227, line 10.1 is entirely transmission-related unless specified in a footnote to the Form 1.</t>
  </si>
  <si>
    <t>27a</t>
  </si>
  <si>
    <t>27b</t>
  </si>
  <si>
    <t xml:space="preserve">  Less: Energy Storage ARO (Enter Negative) </t>
  </si>
  <si>
    <t>38a</t>
  </si>
  <si>
    <t>38b</t>
  </si>
  <si>
    <t>45a</t>
  </si>
  <si>
    <t>87a</t>
  </si>
  <si>
    <t>322.131.16.b</t>
  </si>
  <si>
    <t>102a</t>
  </si>
  <si>
    <t>336.9.1b</t>
  </si>
  <si>
    <t>For Year Ended December 31, 2025</t>
  </si>
  <si>
    <t>1/1/2025 Beginning  Balances</t>
  </si>
  <si>
    <t>12/31/2025 Ending Balance</t>
  </si>
  <si>
    <t>Acc Dfrd SIT FAS 109 Flow Thru 283.3002</t>
  </si>
  <si>
    <t>ADIT Federal Non-UMWA PRW OCI</t>
  </si>
  <si>
    <t>Accum Defd SIT - Oth Inc &amp; Ded</t>
  </si>
  <si>
    <t>Acc Dfd FIT - FAS109 Flow Thru</t>
  </si>
  <si>
    <t>Accum Dfd FIT - FAS 109 Excess</t>
  </si>
  <si>
    <t>Accum Deferred FIT-TBBS</t>
  </si>
  <si>
    <t>Prepaid Lease</t>
  </si>
  <si>
    <t>1650023</t>
  </si>
  <si>
    <t>Preapaid Lease</t>
  </si>
  <si>
    <t>Fairs, Shows, and Exhibits</t>
  </si>
  <si>
    <t>2016 - DEFICIENT ADFIT 190 - UNPROTECTED</t>
  </si>
  <si>
    <t>6009 - PT COR - NORM</t>
  </si>
  <si>
    <t>7541 - REG ASSET-SO2 Allowance Inv - Recovery</t>
  </si>
  <si>
    <t>7628 - 2024 PENSIONS SETTLEMENT</t>
  </si>
  <si>
    <t>7633 - FRINGE BENEFIT LOADING - PENSION</t>
  </si>
  <si>
    <t>7634 - FRINGE BENEFIT LOADING - OPEB</t>
  </si>
  <si>
    <t>7671 - WV CAMT Deferral</t>
  </si>
  <si>
    <t>7039 - ACCRD LEASED ASSET BK RENT EXP</t>
  </si>
  <si>
    <t>7488 - REG ASSET-NOLC Regulatory Asset</t>
  </si>
  <si>
    <t>7489 - REG ASSET-NOLC Reg Asset-Equity Carrying</t>
  </si>
  <si>
    <t>7670 - WV MRBC Deferral + Equity</t>
  </si>
  <si>
    <t>ADFIT - FAS 109 Excess</t>
  </si>
  <si>
    <t>1o</t>
  </si>
  <si>
    <t>1904001</t>
  </si>
  <si>
    <t>1p</t>
  </si>
  <si>
    <t>1904002</t>
  </si>
  <si>
    <t>ADSIT - FAS 109 Excess (State Gross Up)</t>
  </si>
  <si>
    <t>Mix</t>
  </si>
  <si>
    <t>1q</t>
  </si>
  <si>
    <t>2834001</t>
  </si>
  <si>
    <t>ADFIT - FAS 109 Excess (Fed Gross Up)</t>
  </si>
  <si>
    <t>1r</t>
  </si>
  <si>
    <t>2834002</t>
  </si>
  <si>
    <t>1s</t>
  </si>
  <si>
    <r>
      <t>190</t>
    </r>
    <r>
      <rPr>
        <sz val="10"/>
        <color rgb="FFFF0000"/>
        <rFont val="Arial"/>
        <family val="2"/>
      </rPr>
      <t>1</t>
    </r>
    <r>
      <rPr>
        <sz val="10"/>
        <rFont val="Arial"/>
        <family val="2"/>
      </rPr>
      <t>001</t>
    </r>
  </si>
  <si>
    <t>4m</t>
  </si>
  <si>
    <t>4n</t>
  </si>
  <si>
    <t>4o</t>
  </si>
  <si>
    <r>
      <t>283</t>
    </r>
    <r>
      <rPr>
        <sz val="7.65"/>
        <color rgb="FFFF0000"/>
        <rFont val="Arial"/>
        <family val="2"/>
      </rPr>
      <t>4</t>
    </r>
    <r>
      <rPr>
        <sz val="9"/>
        <rFont val="Arial"/>
        <family val="2"/>
      </rPr>
      <t>001</t>
    </r>
  </si>
  <si>
    <t>4p</t>
  </si>
  <si>
    <r>
      <t>283</t>
    </r>
    <r>
      <rPr>
        <sz val="7.65"/>
        <color rgb="FFFF0000"/>
        <rFont val="Arial"/>
        <family val="2"/>
      </rPr>
      <t>4</t>
    </r>
    <r>
      <rPr>
        <sz val="9"/>
        <rFont val="Arial"/>
        <family val="2"/>
      </rPr>
      <t>002</t>
    </r>
  </si>
  <si>
    <t>4q</t>
  </si>
  <si>
    <t>pg. 263, Ln. 28 (l)</t>
  </si>
  <si>
    <t>pg. 263, Ln.30(l)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</si>
</sst>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_);_(* \(#,##0.00000\);_(* &quot;-&quot;??_);_(@_)"/>
    <numFmt numFmtId="182" formatCode="#,##0.0000000"/>
    <numFmt numFmtId="183" formatCode="_(* #,##0.0000000_);_(* \(#,##0.0000000\);_(* &quot;-&quot;_);_(@_)"/>
    <numFmt numFmtId="184" formatCode="#,##0\ ;\(#,##0\)"/>
    <numFmt numFmtId="185" formatCode="_(* #,##0.0000_);_(* \(#,##0.0000\);_(* &quot;-&quot;??_);_(@_)"/>
    <numFmt numFmtId="186" formatCode="_(* #,##0.000_);_(* \(#,##0.000\);_(* &quot;-&quot;_);_(@_)"/>
    <numFmt numFmtId="187" formatCode="#,##0.000000"/>
    <numFmt numFmtId="188" formatCode="mmmm\ d\,\ yyyy"/>
    <numFmt numFmtId="189" formatCode="m/d/yy;@"/>
    <numFmt numFmtId="190" formatCode="0.000"/>
    <numFmt numFmtId="191" formatCode="0.000000_)"/>
    <numFmt numFmtId="192" formatCode="#,##0.000000_);\(#,##0.000000\)"/>
    <numFmt numFmtId="193" formatCode="0_);\(0\)"/>
    <numFmt numFmtId="194" formatCode="0.0"/>
    <numFmt numFmtId="195" formatCode="&quot;$&quot;#,##0.0000"/>
    <numFmt numFmtId="196" formatCode="[$-409]mmm\-yy;@"/>
    <numFmt numFmtId="197" formatCode="#,##0_);[Red]\(#,##0\);&quot; &quot;"/>
    <numFmt numFmtId="198" formatCode="_(* #,##0.00_);_(* \(#,##0.00\);_(* &quot;-&quot;_);_(@_)"/>
    <numFmt numFmtId="199" formatCode="_(* #,##0.000_);_(* \(#,##0.000\);_(* &quot;-&quot;??_);_(@_)"/>
    <numFmt numFmtId="200" formatCode="0.000000%"/>
    <numFmt numFmtId="201" formatCode="mm/dd/yy_)"/>
  </numFmts>
  <fonts count="1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sz val="10"/>
      <color indexed="12"/>
      <name val="Times New Roman"/>
      <family val="1"/>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b/>
      <u/>
      <sz val="11"/>
      <name val="Arial"/>
      <family val="2"/>
    </font>
    <font>
      <sz val="10"/>
      <name val="Arial"/>
      <family val="2"/>
    </font>
    <font>
      <sz val="12"/>
      <name val="Arial MT"/>
      <family val="2"/>
    </font>
    <font>
      <sz val="9"/>
      <color rgb="FFFF0000"/>
      <name val="Arial"/>
      <family val="2"/>
    </font>
    <font>
      <sz val="9"/>
      <name val="Arial MT"/>
      <family val="2"/>
    </font>
    <font>
      <i/>
      <sz val="12"/>
      <name val="Arial MT"/>
    </font>
    <font>
      <b/>
      <sz val="9"/>
      <name val="Calibri Light"/>
      <family val="2"/>
    </font>
    <font>
      <sz val="7.65"/>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
      <patternFill patternType="solid">
        <fgColor rgb="FFFFC000"/>
        <bgColor indexed="64"/>
      </patternFill>
    </fill>
    <fill>
      <patternFill patternType="darkUp">
        <bgColor theme="0"/>
      </patternFill>
    </fill>
  </fills>
  <borders count="5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style="thin">
        <color indexed="64"/>
      </right>
      <top style="thin">
        <color indexed="64"/>
      </top>
      <bottom/>
      <diagonal/>
    </border>
    <border>
      <left/>
      <right/>
      <top style="thin">
        <color indexed="64"/>
      </top>
      <bottom/>
      <diagonal/>
    </border>
  </borders>
  <cellStyleXfs count="540">
    <xf numFmtId="0" fontId="0" fillId="0" borderId="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2" fillId="3" borderId="0" applyNumberFormat="0" applyBorder="0" applyAlignment="0" applyProtection="0"/>
    <xf numFmtId="0" fontId="42" fillId="3" borderId="0" applyNumberFormat="0" applyBorder="0" applyAlignment="0" applyProtection="0"/>
    <xf numFmtId="172" fontId="43" fillId="0" borderId="0" applyFill="0"/>
    <xf numFmtId="172" fontId="43" fillId="0" borderId="0">
      <alignment horizontal="center"/>
    </xf>
    <xf numFmtId="0" fontId="43" fillId="0" borderId="0" applyFill="0">
      <alignment horizontal="center"/>
    </xf>
    <xf numFmtId="172" fontId="9" fillId="0" borderId="1" applyFill="0"/>
    <xf numFmtId="0" fontId="17" fillId="0" borderId="0" applyFont="0" applyAlignment="0"/>
    <xf numFmtId="0" fontId="44" fillId="0" borderId="0" applyFill="0">
      <alignment vertical="top"/>
    </xf>
    <xf numFmtId="0" fontId="9" fillId="0" borderId="0" applyFill="0">
      <alignment horizontal="left" vertical="top"/>
    </xf>
    <xf numFmtId="172" fontId="11" fillId="0" borderId="2" applyFill="0"/>
    <xf numFmtId="0" fontId="17" fillId="0" borderId="0" applyNumberFormat="0" applyFont="0" applyAlignment="0"/>
    <xf numFmtId="0" fontId="44" fillId="0" borderId="0" applyFill="0">
      <alignment wrapText="1"/>
    </xf>
    <xf numFmtId="0" fontId="9" fillId="0" borderId="0" applyFill="0">
      <alignment horizontal="left" vertical="top" wrapText="1"/>
    </xf>
    <xf numFmtId="172" fontId="45" fillId="0" borderId="0" applyFill="0"/>
    <xf numFmtId="0" fontId="46" fillId="0" borderId="0" applyNumberFormat="0" applyFont="0" applyAlignment="0">
      <alignment horizontal="center"/>
    </xf>
    <xf numFmtId="0" fontId="47" fillId="0" borderId="0" applyFill="0">
      <alignment vertical="top" wrapText="1"/>
    </xf>
    <xf numFmtId="0" fontId="11" fillId="0" borderId="0" applyFill="0">
      <alignment horizontal="left" vertical="top" wrapText="1"/>
    </xf>
    <xf numFmtId="172" fontId="17" fillId="0" borderId="0" applyFill="0"/>
    <xf numFmtId="0" fontId="46" fillId="0" borderId="0" applyNumberFormat="0" applyFont="0" applyAlignment="0">
      <alignment horizontal="center"/>
    </xf>
    <xf numFmtId="0" fontId="33" fillId="0" borderId="0" applyFill="0">
      <alignment vertical="center" wrapText="1"/>
    </xf>
    <xf numFmtId="0" fontId="10" fillId="0" borderId="0">
      <alignment horizontal="left" vertical="center" wrapText="1"/>
    </xf>
    <xf numFmtId="172" fontId="29" fillId="0" borderId="0" applyFill="0"/>
    <xf numFmtId="0" fontId="46" fillId="0" borderId="0" applyNumberFormat="0" applyFont="0" applyAlignment="0">
      <alignment horizontal="center"/>
    </xf>
    <xf numFmtId="0" fontId="21" fillId="0" borderId="0" applyFill="0">
      <alignment horizontal="center" vertical="center" wrapText="1"/>
    </xf>
    <xf numFmtId="0" fontId="17" fillId="0" borderId="0" applyFill="0">
      <alignment horizontal="center" vertical="center" wrapText="1"/>
    </xf>
    <xf numFmtId="172" fontId="48" fillId="0" borderId="0" applyFill="0"/>
    <xf numFmtId="0" fontId="46" fillId="0" borderId="0" applyNumberFormat="0" applyFont="0" applyAlignment="0">
      <alignment horizontal="center"/>
    </xf>
    <xf numFmtId="0" fontId="49" fillId="0" borderId="0" applyFill="0">
      <alignment horizontal="center" vertical="center" wrapText="1"/>
    </xf>
    <xf numFmtId="0" fontId="50" fillId="0" borderId="0" applyFill="0">
      <alignment horizontal="center" vertical="center" wrapText="1"/>
    </xf>
    <xf numFmtId="172" fontId="51" fillId="0" borderId="0" applyFill="0"/>
    <xf numFmtId="0" fontId="46" fillId="0" borderId="0" applyNumberFormat="0" applyFont="0" applyAlignment="0">
      <alignment horizontal="center"/>
    </xf>
    <xf numFmtId="0" fontId="52" fillId="0" borderId="0">
      <alignment horizontal="center" wrapText="1"/>
    </xf>
    <xf numFmtId="0" fontId="48" fillId="0" borderId="0" applyFill="0">
      <alignment horizontal="center" wrapText="1"/>
    </xf>
    <xf numFmtId="0" fontId="53" fillId="20" borderId="3" applyNumberFormat="0" applyAlignment="0" applyProtection="0"/>
    <xf numFmtId="0" fontId="53" fillId="20" borderId="3" applyNumberFormat="0" applyAlignment="0" applyProtection="0"/>
    <xf numFmtId="0" fontId="54" fillId="21" borderId="4" applyNumberFormat="0" applyAlignment="0" applyProtection="0"/>
    <xf numFmtId="0" fontId="54" fillId="21" borderId="4" applyNumberFormat="0" applyAlignment="0" applyProtection="0"/>
    <xf numFmtId="43" fontId="7" fillId="0" borderId="0" applyFont="0" applyFill="0" applyBorder="0" applyAlignment="0" applyProtection="0"/>
    <xf numFmtId="43" fontId="15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13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38" fillId="0" borderId="0" applyFont="0" applyFill="0" applyBorder="0" applyAlignment="0" applyProtection="0"/>
    <xf numFmtId="43" fontId="17" fillId="0" borderId="0" applyFont="0" applyFill="0" applyBorder="0" applyAlignment="0" applyProtection="0"/>
    <xf numFmtId="43" fontId="141" fillId="0" borderId="0" applyFont="0" applyFill="0" applyBorder="0" applyAlignment="0" applyProtection="0"/>
    <xf numFmtId="43" fontId="17" fillId="0" borderId="0" applyFont="0" applyFill="0" applyBorder="0" applyAlignment="0" applyProtection="0"/>
    <xf numFmtId="43" fontId="158" fillId="0" borderId="0" applyFont="0" applyFill="0" applyBorder="0" applyAlignment="0" applyProtection="0"/>
    <xf numFmtId="43" fontId="159" fillId="0" borderId="0" applyFont="0" applyFill="0" applyBorder="0" applyAlignment="0" applyProtection="0"/>
    <xf numFmtId="43" fontId="17" fillId="0" borderId="0" applyFont="0" applyFill="0" applyBorder="0" applyAlignment="0" applyProtection="0"/>
    <xf numFmtId="43" fontId="138" fillId="0" borderId="0" applyFont="0" applyFill="0" applyBorder="0" applyAlignment="0" applyProtection="0"/>
    <xf numFmtId="43" fontId="17" fillId="0" borderId="0" applyFont="0" applyFill="0" applyBorder="0" applyAlignment="0" applyProtection="0"/>
    <xf numFmtId="43" fontId="159" fillId="0" borderId="0" applyFont="0" applyFill="0" applyBorder="0" applyAlignment="0" applyProtection="0"/>
    <xf numFmtId="43" fontId="17" fillId="0" borderId="0" applyFont="0" applyFill="0" applyBorder="0" applyAlignment="0" applyProtection="0"/>
    <xf numFmtId="43" fontId="159" fillId="0" borderId="0" applyFont="0" applyFill="0" applyBorder="0" applyAlignment="0" applyProtection="0"/>
    <xf numFmtId="43" fontId="14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58" fillId="0" borderId="0" applyFont="0" applyFill="0" applyBorder="0" applyAlignment="0" applyProtection="0"/>
    <xf numFmtId="43" fontId="7" fillId="0" borderId="0" applyFont="0" applyFill="0" applyBorder="0" applyAlignment="0" applyProtection="0"/>
    <xf numFmtId="3" fontId="17"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13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3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38" fillId="0" borderId="0" applyFont="0" applyFill="0" applyBorder="0" applyAlignment="0" applyProtection="0"/>
    <xf numFmtId="44" fontId="17" fillId="0" borderId="0" applyFont="0" applyFill="0" applyBorder="0" applyAlignment="0" applyProtection="0"/>
    <xf numFmtId="44" fontId="158" fillId="0" borderId="0" applyFont="0" applyFill="0" applyBorder="0" applyAlignment="0" applyProtection="0"/>
    <xf numFmtId="44" fontId="159" fillId="0" borderId="0" applyFont="0" applyFill="0" applyBorder="0" applyAlignment="0" applyProtection="0"/>
    <xf numFmtId="44" fontId="17" fillId="0" borderId="0" applyFont="0" applyFill="0" applyBorder="0" applyAlignment="0" applyProtection="0"/>
    <xf numFmtId="44" fontId="138" fillId="0" borderId="0" applyFont="0" applyFill="0" applyBorder="0" applyAlignment="0" applyProtection="0"/>
    <xf numFmtId="44" fontId="17" fillId="0" borderId="0" applyFont="0" applyFill="0" applyBorder="0" applyAlignment="0" applyProtection="0"/>
    <xf numFmtId="44" fontId="159" fillId="0" borderId="0" applyFont="0" applyFill="0" applyBorder="0" applyAlignment="0" applyProtection="0"/>
    <xf numFmtId="44" fontId="158"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2" fontId="17" fillId="0" borderId="0" applyFont="0" applyFill="0" applyBorder="0" applyAlignment="0" applyProtection="0"/>
    <xf numFmtId="0" fontId="56" fillId="4" borderId="0" applyNumberFormat="0" applyBorder="0" applyAlignment="0" applyProtection="0"/>
    <xf numFmtId="0" fontId="56" fillId="4" borderId="0" applyNumberFormat="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7" fillId="0" borderId="5"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6"/>
    <xf numFmtId="0" fontId="59" fillId="0" borderId="0"/>
    <xf numFmtId="0" fontId="60" fillId="7" borderId="3" applyNumberFormat="0" applyAlignment="0" applyProtection="0"/>
    <xf numFmtId="0" fontId="60" fillId="7" borderId="3" applyNumberFormat="0" applyAlignment="0" applyProtection="0"/>
    <xf numFmtId="0" fontId="61" fillId="0" borderId="7" applyNumberFormat="0" applyFill="0" applyAlignment="0" applyProtection="0"/>
    <xf numFmtId="0" fontId="61" fillId="0" borderId="7" applyNumberFormat="0" applyFill="0" applyAlignment="0" applyProtection="0"/>
    <xf numFmtId="0" fontId="62" fillId="22" borderId="0" applyNumberFormat="0" applyBorder="0" applyAlignment="0" applyProtection="0"/>
    <xf numFmtId="0" fontId="62" fillId="22" borderId="0" applyNumberFormat="0" applyBorder="0" applyAlignment="0" applyProtection="0"/>
    <xf numFmtId="3" fontId="133" fillId="0" borderId="0"/>
    <xf numFmtId="3" fontId="17" fillId="0" borderId="0"/>
    <xf numFmtId="3" fontId="17" fillId="0" borderId="0"/>
    <xf numFmtId="3" fontId="133" fillId="0" borderId="0"/>
    <xf numFmtId="0" fontId="17" fillId="0" borderId="0"/>
    <xf numFmtId="3" fontId="17" fillId="0" borderId="0"/>
    <xf numFmtId="3" fontId="133" fillId="0" borderId="0"/>
    <xf numFmtId="3" fontId="17" fillId="0" borderId="0"/>
    <xf numFmtId="0" fontId="159" fillId="0" borderId="0"/>
    <xf numFmtId="3" fontId="133" fillId="0" borderId="0"/>
    <xf numFmtId="3" fontId="17" fillId="0" borderId="0"/>
    <xf numFmtId="3" fontId="133" fillId="0" borderId="0"/>
    <xf numFmtId="3" fontId="17" fillId="0" borderId="0"/>
    <xf numFmtId="0" fontId="17" fillId="0" borderId="0"/>
    <xf numFmtId="3" fontId="133" fillId="0" borderId="0"/>
    <xf numFmtId="3" fontId="17" fillId="0" borderId="0"/>
    <xf numFmtId="3" fontId="133" fillId="0" borderId="0"/>
    <xf numFmtId="3" fontId="17" fillId="0" borderId="0"/>
    <xf numFmtId="3" fontId="133" fillId="0" borderId="0"/>
    <xf numFmtId="3" fontId="17" fillId="0" borderId="0"/>
    <xf numFmtId="3" fontId="134" fillId="0" borderId="0"/>
    <xf numFmtId="3" fontId="17" fillId="0" borderId="0"/>
    <xf numFmtId="0" fontId="17" fillId="0" borderId="0"/>
    <xf numFmtId="0" fontId="132" fillId="0" borderId="0"/>
    <xf numFmtId="0" fontId="160" fillId="0" borderId="0"/>
    <xf numFmtId="0" fontId="17" fillId="0" borderId="0"/>
    <xf numFmtId="0" fontId="17" fillId="0" borderId="0"/>
    <xf numFmtId="0" fontId="160" fillId="0" borderId="0"/>
    <xf numFmtId="0" fontId="17" fillId="0" borderId="0"/>
    <xf numFmtId="0" fontId="17" fillId="0" borderId="0"/>
    <xf numFmtId="3" fontId="134" fillId="0" borderId="0"/>
    <xf numFmtId="3" fontId="17" fillId="0" borderId="0"/>
    <xf numFmtId="3" fontId="134" fillId="0" borderId="0"/>
    <xf numFmtId="3" fontId="17" fillId="0" borderId="0"/>
    <xf numFmtId="3" fontId="134" fillId="0" borderId="0"/>
    <xf numFmtId="3" fontId="17" fillId="0" borderId="0"/>
    <xf numFmtId="3" fontId="134" fillId="0" borderId="0"/>
    <xf numFmtId="3" fontId="17" fillId="0" borderId="0"/>
    <xf numFmtId="3" fontId="134" fillId="0" borderId="0"/>
    <xf numFmtId="3" fontId="17" fillId="0" borderId="0"/>
    <xf numFmtId="3" fontId="134" fillId="0" borderId="0"/>
    <xf numFmtId="3" fontId="17" fillId="0" borderId="0"/>
    <xf numFmtId="3" fontId="134" fillId="0" borderId="0"/>
    <xf numFmtId="3" fontId="17" fillId="0" borderId="0"/>
    <xf numFmtId="3" fontId="17" fillId="0" borderId="0"/>
    <xf numFmtId="3" fontId="141" fillId="0" borderId="0"/>
    <xf numFmtId="3" fontId="17" fillId="0" borderId="0"/>
    <xf numFmtId="3" fontId="141" fillId="0" borderId="0"/>
    <xf numFmtId="3" fontId="17" fillId="0" borderId="0"/>
    <xf numFmtId="0" fontId="17" fillId="0" borderId="0"/>
    <xf numFmtId="0" fontId="17" fillId="0" borderId="0"/>
    <xf numFmtId="3" fontId="17" fillId="0" borderId="0"/>
    <xf numFmtId="0" fontId="17" fillId="0" borderId="0"/>
    <xf numFmtId="0" fontId="7" fillId="0" borderId="0"/>
    <xf numFmtId="0" fontId="17" fillId="0" borderId="0"/>
    <xf numFmtId="0" fontId="133" fillId="0" borderId="0"/>
    <xf numFmtId="0" fontId="17" fillId="0" borderId="0"/>
    <xf numFmtId="0" fontId="17" fillId="0" borderId="0"/>
    <xf numFmtId="0" fontId="134" fillId="0" borderId="0"/>
    <xf numFmtId="0" fontId="17" fillId="0" borderId="0"/>
    <xf numFmtId="0" fontId="17" fillId="0" borderId="0"/>
    <xf numFmtId="0" fontId="17" fillId="0" borderId="0"/>
    <xf numFmtId="0" fontId="138" fillId="0" borderId="0"/>
    <xf numFmtId="0" fontId="17" fillId="0" borderId="0"/>
    <xf numFmtId="0" fontId="141" fillId="0" borderId="0"/>
    <xf numFmtId="0" fontId="17" fillId="0" borderId="0"/>
    <xf numFmtId="0" fontId="158" fillId="0" borderId="0"/>
    <xf numFmtId="0" fontId="17" fillId="0" borderId="0"/>
    <xf numFmtId="3" fontId="126" fillId="0" borderId="0"/>
    <xf numFmtId="3" fontId="17" fillId="0" borderId="0"/>
    <xf numFmtId="0" fontId="17" fillId="0" borderId="0"/>
    <xf numFmtId="3" fontId="17" fillId="0" borderId="0"/>
    <xf numFmtId="0" fontId="17" fillId="0" borderId="0"/>
    <xf numFmtId="0" fontId="159" fillId="0" borderId="0"/>
    <xf numFmtId="0" fontId="133" fillId="0" borderId="0"/>
    <xf numFmtId="0" fontId="17" fillId="0" borderId="0"/>
    <xf numFmtId="0" fontId="17" fillId="0" borderId="0"/>
    <xf numFmtId="0" fontId="134" fillId="0" borderId="0"/>
    <xf numFmtId="0" fontId="17" fillId="0" borderId="0"/>
    <xf numFmtId="0" fontId="141" fillId="0" borderId="0"/>
    <xf numFmtId="0" fontId="17" fillId="0" borderId="0"/>
    <xf numFmtId="0" fontId="159" fillId="0" borderId="0"/>
    <xf numFmtId="0" fontId="17" fillId="0" borderId="0"/>
    <xf numFmtId="0" fontId="159" fillId="0" borderId="0"/>
    <xf numFmtId="0" fontId="17" fillId="0" borderId="0"/>
    <xf numFmtId="0" fontId="159" fillId="0" borderId="0"/>
    <xf numFmtId="0" fontId="17" fillId="0" borderId="0"/>
    <xf numFmtId="0" fontId="8" fillId="0" borderId="0" applyProtection="0"/>
    <xf numFmtId="0" fontId="7" fillId="0" borderId="0"/>
    <xf numFmtId="0" fontId="134" fillId="0" borderId="0"/>
    <xf numFmtId="0" fontId="17" fillId="0" borderId="0"/>
    <xf numFmtId="0" fontId="17" fillId="0" borderId="0"/>
    <xf numFmtId="0" fontId="138" fillId="0" borderId="0"/>
    <xf numFmtId="0" fontId="17" fillId="0" borderId="0"/>
    <xf numFmtId="172" fontId="8" fillId="0" borderId="0" applyProtection="0"/>
    <xf numFmtId="0" fontId="7" fillId="0" borderId="0"/>
    <xf numFmtId="0" fontId="158" fillId="0" borderId="0"/>
    <xf numFmtId="0" fontId="7" fillId="0" borderId="0"/>
    <xf numFmtId="172" fontId="8" fillId="0" borderId="0" applyProtection="0"/>
    <xf numFmtId="0" fontId="75" fillId="0" borderId="0"/>
    <xf numFmtId="0" fontId="8" fillId="0" borderId="0"/>
    <xf numFmtId="0" fontId="17" fillId="0" borderId="0"/>
    <xf numFmtId="0" fontId="7" fillId="0" borderId="0"/>
    <xf numFmtId="0" fontId="8" fillId="23" borderId="8" applyNumberFormat="0" applyFont="0" applyAlignment="0" applyProtection="0"/>
    <xf numFmtId="0" fontId="8" fillId="23" borderId="8" applyNumberFormat="0" applyFont="0" applyAlignment="0" applyProtection="0"/>
    <xf numFmtId="0" fontId="63" fillId="20" borderId="9" applyNumberFormat="0" applyAlignment="0" applyProtection="0"/>
    <xf numFmtId="0" fontId="63" fillId="20" borderId="9" applyNumberFormat="0" applyAlignment="0" applyProtection="0"/>
    <xf numFmtId="9" fontId="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17" fillId="0" borderId="0" applyFont="0" applyFill="0" applyBorder="0" applyAlignment="0" applyProtection="0"/>
    <xf numFmtId="9" fontId="13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8" fillId="0" borderId="0" applyFont="0" applyFill="0" applyBorder="0" applyAlignment="0" applyProtection="0"/>
    <xf numFmtId="9" fontId="17" fillId="0" borderId="0" applyFont="0" applyFill="0" applyBorder="0" applyAlignment="0" applyProtection="0"/>
    <xf numFmtId="9" fontId="158" fillId="0" borderId="0" applyFont="0" applyFill="0" applyBorder="0" applyAlignment="0" applyProtection="0"/>
    <xf numFmtId="9" fontId="15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8" fillId="0" borderId="0" applyFont="0" applyFill="0" applyBorder="0" applyAlignment="0" applyProtection="0"/>
    <xf numFmtId="9" fontId="17" fillId="0" borderId="0" applyFont="0" applyFill="0" applyBorder="0" applyAlignment="0" applyProtection="0"/>
    <xf numFmtId="9" fontId="159" fillId="0" borderId="0" applyFont="0" applyFill="0" applyBorder="0" applyAlignment="0" applyProtection="0"/>
    <xf numFmtId="9" fontId="14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58" fillId="0" borderId="0" applyFont="0" applyFill="0" applyBorder="0" applyAlignment="0" applyProtection="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3" fontId="17" fillId="0" borderId="0">
      <alignment horizontal="left" vertical="top"/>
    </xf>
    <xf numFmtId="0" fontId="39" fillId="0" borderId="6">
      <alignment horizontal="center"/>
    </xf>
    <xf numFmtId="3" fontId="38" fillId="0" borderId="0" applyFont="0" applyFill="0" applyBorder="0" applyAlignment="0" applyProtection="0"/>
    <xf numFmtId="0" fontId="38" fillId="24" borderId="0" applyNumberFormat="0" applyFont="0" applyBorder="0" applyAlignment="0" applyProtection="0"/>
    <xf numFmtId="3" fontId="17" fillId="0" borderId="0">
      <alignment horizontal="right" vertical="top"/>
    </xf>
    <xf numFmtId="41" fontId="10" fillId="25" borderId="10" applyFill="0"/>
    <xf numFmtId="0" fontId="64" fillId="0" borderId="0">
      <alignment horizontal="left" indent="7"/>
    </xf>
    <xf numFmtId="41" fontId="10" fillId="0" borderId="10" applyFill="0">
      <alignment horizontal="left" indent="2"/>
    </xf>
    <xf numFmtId="172" fontId="30" fillId="0" borderId="11" applyFill="0">
      <alignment horizontal="right"/>
    </xf>
    <xf numFmtId="0" fontId="14" fillId="0" borderId="12" applyNumberFormat="0" applyFont="0" applyBorder="0">
      <alignment horizontal="right"/>
    </xf>
    <xf numFmtId="0" fontId="65" fillId="0" borderId="0" applyFill="0"/>
    <xf numFmtId="0" fontId="11" fillId="0" borderId="0" applyFill="0"/>
    <xf numFmtId="4" fontId="30" fillId="0" borderId="11" applyFill="0"/>
    <xf numFmtId="0" fontId="17" fillId="0" borderId="0" applyNumberFormat="0" applyFont="0" applyBorder="0" applyAlignment="0"/>
    <xf numFmtId="0" fontId="47" fillId="0" borderId="0" applyFill="0">
      <alignment horizontal="left" indent="1"/>
    </xf>
    <xf numFmtId="0" fontId="66" fillId="0" borderId="0" applyFill="0">
      <alignment horizontal="left" indent="1"/>
    </xf>
    <xf numFmtId="4" fontId="29" fillId="0" borderId="0" applyFill="0"/>
    <xf numFmtId="0" fontId="17" fillId="0" borderId="0" applyNumberFormat="0" applyFont="0" applyFill="0" applyBorder="0" applyAlignment="0"/>
    <xf numFmtId="0" fontId="47" fillId="0" borderId="0" applyFill="0">
      <alignment horizontal="left" indent="2"/>
    </xf>
    <xf numFmtId="0" fontId="11" fillId="0" borderId="0" applyFill="0">
      <alignment horizontal="left" indent="2"/>
    </xf>
    <xf numFmtId="4" fontId="29" fillId="0" borderId="0" applyFill="0"/>
    <xf numFmtId="0" fontId="17" fillId="0" borderId="0" applyNumberFormat="0" applyFont="0" applyBorder="0" applyAlignment="0"/>
    <xf numFmtId="0" fontId="67" fillId="0" borderId="0">
      <alignment horizontal="left" indent="3"/>
    </xf>
    <xf numFmtId="0" fontId="68" fillId="0" borderId="0" applyFill="0">
      <alignment horizontal="left" indent="3"/>
    </xf>
    <xf numFmtId="4" fontId="29" fillId="0" borderId="0" applyFill="0"/>
    <xf numFmtId="0" fontId="17" fillId="0" borderId="0" applyNumberFormat="0" applyFont="0" applyBorder="0" applyAlignment="0"/>
    <xf numFmtId="0" fontId="21" fillId="0" borderId="0">
      <alignment horizontal="left" indent="4"/>
    </xf>
    <xf numFmtId="0" fontId="17" fillId="0" borderId="0" applyFill="0">
      <alignment horizontal="left" indent="4"/>
    </xf>
    <xf numFmtId="4" fontId="48" fillId="0" borderId="0" applyFill="0"/>
    <xf numFmtId="0" fontId="17" fillId="0" borderId="0" applyNumberFormat="0" applyFont="0" applyBorder="0" applyAlignment="0"/>
    <xf numFmtId="0" fontId="49" fillId="0" borderId="0">
      <alignment horizontal="left" indent="5"/>
    </xf>
    <xf numFmtId="0" fontId="50" fillId="0" borderId="0" applyFill="0">
      <alignment horizontal="left" indent="5"/>
    </xf>
    <xf numFmtId="4" fontId="51" fillId="0" borderId="0" applyFill="0"/>
    <xf numFmtId="0" fontId="17" fillId="0" borderId="0" applyNumberFormat="0" applyFont="0" applyFill="0" applyBorder="0" applyAlignment="0"/>
    <xf numFmtId="0" fontId="52" fillId="0" borderId="0" applyFill="0">
      <alignment horizontal="left" indent="6"/>
    </xf>
    <xf numFmtId="0" fontId="48" fillId="0" borderId="0" applyFill="0">
      <alignment horizontal="left" indent="6"/>
    </xf>
    <xf numFmtId="0" fontId="69" fillId="0" borderId="0" applyNumberFormat="0" applyFill="0" applyBorder="0" applyAlignment="0" applyProtection="0"/>
    <xf numFmtId="0" fontId="69" fillId="0" borderId="0" applyNumberForma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43" fontId="7" fillId="0" borderId="0" applyFont="0" applyFill="0" applyBorder="0" applyAlignment="0" applyProtection="0"/>
    <xf numFmtId="0" fontId="7" fillId="0" borderId="0" applyFont="0" applyAlignment="0"/>
    <xf numFmtId="0" fontId="7" fillId="0" borderId="0" applyNumberFormat="0" applyFont="0" applyAlignment="0"/>
    <xf numFmtId="172" fontId="7" fillId="0" borderId="0" applyFill="0"/>
    <xf numFmtId="0" fontId="7" fillId="0" borderId="0" applyFill="0">
      <alignment horizontal="center" vertical="center" wrapText="1"/>
    </xf>
    <xf numFmtId="43" fontId="171"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44" fontId="17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7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3" fontId="7" fillId="0" borderId="0"/>
    <xf numFmtId="3" fontId="7" fillId="0" borderId="0"/>
    <xf numFmtId="3" fontId="7" fillId="0" borderId="0"/>
    <xf numFmtId="3" fontId="7" fillId="0" borderId="0"/>
    <xf numFmtId="0" fontId="7" fillId="0" borderId="0"/>
    <xf numFmtId="3" fontId="7" fillId="0" borderId="0"/>
    <xf numFmtId="3" fontId="7" fillId="0" borderId="0"/>
    <xf numFmtId="3" fontId="7" fillId="0" borderId="0"/>
    <xf numFmtId="0" fontId="6" fillId="0" borderId="0"/>
    <xf numFmtId="3" fontId="7" fillId="0" borderId="0"/>
    <xf numFmtId="3" fontId="7" fillId="0" borderId="0"/>
    <xf numFmtId="3" fontId="7" fillId="0" borderId="0"/>
    <xf numFmtId="3" fontId="7" fillId="0" borderId="0"/>
    <xf numFmtId="0"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0" fontId="7" fillId="0" borderId="0"/>
    <xf numFmtId="0" fontId="7" fillId="0" borderId="0"/>
    <xf numFmtId="0" fontId="7" fillId="0" borderId="0"/>
    <xf numFmtId="0"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0" fontId="7" fillId="0" borderId="0"/>
    <xf numFmtId="0" fontId="7" fillId="0" borderId="0"/>
    <xf numFmtId="3" fontId="7" fillId="0" borderId="0"/>
    <xf numFmtId="0" fontId="17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 fontId="7" fillId="0" borderId="0"/>
    <xf numFmtId="3" fontId="7" fillId="0" borderId="0"/>
    <xf numFmtId="0" fontId="7" fillId="0" borderId="0"/>
    <xf numFmtId="3"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6" fillId="0" borderId="0"/>
    <xf numFmtId="0" fontId="7" fillId="0" borderId="0"/>
    <xf numFmtId="0" fontId="6" fillId="0" borderId="0"/>
    <xf numFmtId="0" fontId="7" fillId="0" borderId="0"/>
    <xf numFmtId="9" fontId="17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7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3" fontId="7" fillId="0" borderId="0">
      <alignment horizontal="left" vertical="top"/>
    </xf>
    <xf numFmtId="3" fontId="7" fillId="0" borderId="0">
      <alignment horizontal="right" vertical="top"/>
    </xf>
    <xf numFmtId="0" fontId="7" fillId="0" borderId="0" applyNumberFormat="0" applyFont="0" applyBorder="0" applyAlignment="0"/>
    <xf numFmtId="0" fontId="7" fillId="0" borderId="0" applyNumberFormat="0" applyFont="0" applyFill="0" applyBorder="0" applyAlignment="0"/>
    <xf numFmtId="0" fontId="7" fillId="0" borderId="0" applyNumberFormat="0" applyFont="0" applyBorder="0" applyAlignment="0"/>
    <xf numFmtId="0" fontId="7" fillId="0" borderId="0" applyNumberFormat="0" applyFont="0" applyBorder="0" applyAlignment="0"/>
    <xf numFmtId="0" fontId="7" fillId="0" borderId="0" applyFill="0">
      <alignment horizontal="left" indent="4"/>
    </xf>
    <xf numFmtId="0" fontId="7" fillId="0" borderId="0" applyNumberFormat="0" applyFont="0" applyBorder="0" applyAlignment="0"/>
    <xf numFmtId="0" fontId="7" fillId="0" borderId="0" applyNumberFormat="0" applyFont="0" applyFill="0" applyBorder="0" applyAlignment="0"/>
    <xf numFmtId="0" fontId="7" fillId="0" borderId="0" applyFont="0" applyFill="0" applyBorder="0" applyAlignment="0" applyProtection="0"/>
    <xf numFmtId="0" fontId="7" fillId="0" borderId="0" applyFont="0" applyFill="0" applyBorder="0" applyAlignment="0" applyProtection="0"/>
    <xf numFmtId="0" fontId="5" fillId="0" borderId="0"/>
    <xf numFmtId="0" fontId="4" fillId="0" borderId="0"/>
    <xf numFmtId="9" fontId="172" fillId="0" borderId="0" applyFont="0" applyFill="0" applyBorder="0" applyAlignment="0" applyProtection="0"/>
    <xf numFmtId="172" fontId="172" fillId="0" borderId="0" applyProtection="0"/>
    <xf numFmtId="43" fontId="4" fillId="0" borderId="0" applyFont="0" applyFill="0" applyBorder="0" applyAlignment="0" applyProtection="0"/>
    <xf numFmtId="43" fontId="172" fillId="0" borderId="0" applyFont="0" applyFill="0" applyBorder="0" applyAlignment="0" applyProtection="0"/>
    <xf numFmtId="0" fontId="7" fillId="0" borderId="0"/>
    <xf numFmtId="172" fontId="8" fillId="0" borderId="0" applyProtection="0"/>
    <xf numFmtId="43" fontId="8" fillId="0" borderId="0" applyFont="0" applyFill="0" applyBorder="0" applyAlignment="0" applyProtection="0"/>
    <xf numFmtId="0" fontId="3" fillId="0" borderId="0"/>
    <xf numFmtId="9" fontId="8" fillId="0" borderId="0" applyFont="0" applyFill="0" applyBorder="0" applyAlignment="0" applyProtection="0"/>
    <xf numFmtId="0" fontId="2" fillId="0" borderId="0"/>
    <xf numFmtId="172" fontId="8" fillId="0" borderId="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172" fillId="0" borderId="0" applyFont="0" applyFill="0" applyBorder="0" applyAlignment="0" applyProtection="0"/>
    <xf numFmtId="0" fontId="7" fillId="0" borderId="0"/>
  </cellStyleXfs>
  <cellXfs count="1351">
    <xf numFmtId="0" fontId="0" fillId="0" borderId="0" xfId="0"/>
    <xf numFmtId="0" fontId="0" fillId="0" borderId="0" xfId="0" applyAlignment="1">
      <alignment horizontal="center"/>
    </xf>
    <xf numFmtId="3" fontId="10" fillId="0" borderId="0" xfId="0" applyNumberFormat="1" applyFont="1" applyAlignment="1">
      <alignment horizontal="center"/>
    </xf>
    <xf numFmtId="0" fontId="17" fillId="0" borderId="0" xfId="0" applyFont="1"/>
    <xf numFmtId="0" fontId="14" fillId="0" borderId="0" xfId="249" applyFont="1" applyAlignment="1">
      <alignment horizontal="center"/>
    </xf>
    <xf numFmtId="0" fontId="20" fillId="0" borderId="0" xfId="249" applyFont="1"/>
    <xf numFmtId="9" fontId="14" fillId="0" borderId="0" xfId="249" quotePrefix="1" applyNumberFormat="1" applyFont="1" applyAlignment="1">
      <alignment horizontal="center"/>
    </xf>
    <xf numFmtId="0" fontId="22" fillId="0" borderId="0" xfId="249" applyFont="1" applyAlignment="1">
      <alignment horizontal="right"/>
    </xf>
    <xf numFmtId="0" fontId="22" fillId="0" borderId="0" xfId="249" applyFont="1" applyAlignment="1">
      <alignment horizontal="center"/>
    </xf>
    <xf numFmtId="9" fontId="14" fillId="0" borderId="0" xfId="249" applyNumberFormat="1" applyFont="1" applyAlignment="1">
      <alignment horizontal="center"/>
    </xf>
    <xf numFmtId="0" fontId="23" fillId="0" borderId="0" xfId="0" applyFont="1" applyAlignment="1">
      <alignment horizontal="right"/>
    </xf>
    <xf numFmtId="0" fontId="10" fillId="0" borderId="0" xfId="0" applyFont="1"/>
    <xf numFmtId="0" fontId="0" fillId="0" borderId="0" xfId="0" applyAlignment="1">
      <alignment wrapText="1"/>
    </xf>
    <xf numFmtId="0" fontId="9" fillId="0" borderId="0" xfId="0" applyFont="1"/>
    <xf numFmtId="0" fontId="23" fillId="0" borderId="0" xfId="0" applyFont="1"/>
    <xf numFmtId="0" fontId="17" fillId="0" borderId="0" xfId="249" applyFont="1"/>
    <xf numFmtId="41" fontId="17" fillId="0" borderId="0" xfId="249" applyNumberFormat="1" applyFont="1"/>
    <xf numFmtId="0" fontId="20" fillId="0" borderId="0" xfId="249" applyFont="1" applyAlignment="1">
      <alignment horizontal="left"/>
    </xf>
    <xf numFmtId="3" fontId="17" fillId="0" borderId="0" xfId="0" applyNumberFormat="1" applyFont="1"/>
    <xf numFmtId="0" fontId="10" fillId="0" borderId="0" xfId="249" applyFont="1" applyAlignment="1">
      <alignment horizontal="right"/>
    </xf>
    <xf numFmtId="40" fontId="17" fillId="0" borderId="0" xfId="0" applyNumberFormat="1" applyFont="1"/>
    <xf numFmtId="0" fontId="10" fillId="0" borderId="0" xfId="249" applyFont="1"/>
    <xf numFmtId="0" fontId="14" fillId="0" borderId="0" xfId="249" applyFont="1" applyAlignment="1">
      <alignment horizontal="left"/>
    </xf>
    <xf numFmtId="0" fontId="14" fillId="0" borderId="0" xfId="249" applyFont="1"/>
    <xf numFmtId="0" fontId="17" fillId="0" borderId="0" xfId="249" applyFont="1" applyAlignment="1">
      <alignment horizontal="left"/>
    </xf>
    <xf numFmtId="0" fontId="11" fillId="0" borderId="0" xfId="249" applyFont="1" applyAlignment="1">
      <alignment horizontal="center"/>
    </xf>
    <xf numFmtId="37" fontId="10" fillId="0" borderId="0" xfId="0" applyNumberFormat="1" applyFont="1"/>
    <xf numFmtId="0" fontId="31" fillId="0" borderId="0" xfId="0" applyFont="1"/>
    <xf numFmtId="0" fontId="10" fillId="0" borderId="0" xfId="0" applyFont="1" applyAlignment="1">
      <alignment horizontal="center"/>
    </xf>
    <xf numFmtId="37" fontId="10" fillId="0" borderId="0" xfId="0" applyNumberFormat="1" applyFont="1" applyAlignment="1">
      <alignment horizontal="center"/>
    </xf>
    <xf numFmtId="10" fontId="10" fillId="0" borderId="0" xfId="0" applyNumberFormat="1" applyFont="1"/>
    <xf numFmtId="3" fontId="24" fillId="0" borderId="0" xfId="0" applyNumberFormat="1" applyFont="1"/>
    <xf numFmtId="41" fontId="32" fillId="0" borderId="0" xfId="249" applyNumberFormat="1" applyFont="1"/>
    <xf numFmtId="0" fontId="33" fillId="0" borderId="0" xfId="249" applyFont="1" applyAlignment="1">
      <alignment horizontal="left"/>
    </xf>
    <xf numFmtId="0" fontId="31" fillId="0" borderId="0" xfId="249" applyFont="1"/>
    <xf numFmtId="41" fontId="31" fillId="0" borderId="0" xfId="249" applyNumberFormat="1" applyFont="1"/>
    <xf numFmtId="0" fontId="31" fillId="0" borderId="0" xfId="249" applyFont="1" applyAlignment="1">
      <alignment horizontal="left"/>
    </xf>
    <xf numFmtId="0" fontId="34" fillId="0" borderId="0" xfId="249" applyFont="1"/>
    <xf numFmtId="0" fontId="31" fillId="0" borderId="0" xfId="249" applyFont="1" applyAlignment="1">
      <alignment horizontal="center"/>
    </xf>
    <xf numFmtId="0" fontId="15" fillId="0" borderId="0" xfId="249" applyFont="1" applyAlignment="1">
      <alignment horizontal="center"/>
    </xf>
    <xf numFmtId="173" fontId="31" fillId="0" borderId="0" xfId="249" applyNumberFormat="1" applyFont="1"/>
    <xf numFmtId="173" fontId="31" fillId="0" borderId="0" xfId="249" applyNumberFormat="1" applyFont="1" applyAlignment="1">
      <alignment vertical="top"/>
    </xf>
    <xf numFmtId="41" fontId="31" fillId="0" borderId="13" xfId="249" applyNumberFormat="1" applyFont="1" applyBorder="1"/>
    <xf numFmtId="173" fontId="11" fillId="0" borderId="0" xfId="86" applyNumberFormat="1" applyFont="1" applyFill="1" applyAlignment="1">
      <alignment horizontal="center"/>
    </xf>
    <xf numFmtId="0" fontId="10" fillId="0" borderId="0" xfId="249" applyFont="1" applyAlignment="1">
      <alignment horizontal="center"/>
    </xf>
    <xf numFmtId="0" fontId="35" fillId="0" borderId="0" xfId="249" applyFont="1"/>
    <xf numFmtId="41" fontId="10" fillId="0" borderId="13" xfId="249" applyNumberFormat="1" applyFont="1" applyBorder="1"/>
    <xf numFmtId="38" fontId="17" fillId="0" borderId="0" xfId="0" applyNumberFormat="1" applyFont="1"/>
    <xf numFmtId="43" fontId="10" fillId="0" borderId="0" xfId="249" applyNumberFormat="1" applyFont="1"/>
    <xf numFmtId="3" fontId="10" fillId="0" borderId="0" xfId="0" applyNumberFormat="1" applyFont="1"/>
    <xf numFmtId="41" fontId="32" fillId="25" borderId="0" xfId="249" applyNumberFormat="1" applyFont="1" applyFill="1"/>
    <xf numFmtId="0" fontId="12" fillId="0" borderId="0" xfId="211" applyFont="1" applyAlignment="1">
      <alignment horizontal="left"/>
    </xf>
    <xf numFmtId="0" fontId="17" fillId="0" borderId="0" xfId="211"/>
    <xf numFmtId="0" fontId="17" fillId="0" borderId="0" xfId="211" applyAlignment="1">
      <alignment horizontal="center"/>
    </xf>
    <xf numFmtId="0" fontId="17" fillId="0" borderId="0" xfId="211" applyAlignment="1">
      <alignment horizontal="left"/>
    </xf>
    <xf numFmtId="0" fontId="14" fillId="0" borderId="0" xfId="211" applyFont="1" applyAlignment="1">
      <alignment horizontal="left"/>
    </xf>
    <xf numFmtId="0" fontId="17" fillId="0" borderId="0" xfId="211" applyAlignment="1">
      <alignment horizontal="center" wrapText="1"/>
    </xf>
    <xf numFmtId="3" fontId="17" fillId="0" borderId="0" xfId="211" applyNumberFormat="1"/>
    <xf numFmtId="173" fontId="17" fillId="0" borderId="0" xfId="89" applyNumberFormat="1" applyFont="1" applyFill="1" applyBorder="1" applyAlignment="1">
      <alignment horizontal="right"/>
    </xf>
    <xf numFmtId="0" fontId="13" fillId="0" borderId="0" xfId="211" applyFont="1"/>
    <xf numFmtId="0" fontId="14" fillId="0" borderId="0" xfId="211" applyFont="1"/>
    <xf numFmtId="0" fontId="14" fillId="0" borderId="0" xfId="211" applyFont="1" applyAlignment="1">
      <alignment horizontal="center"/>
    </xf>
    <xf numFmtId="164" fontId="17" fillId="0" borderId="0" xfId="270" applyNumberFormat="1" applyFont="1" applyFill="1" applyBorder="1" applyAlignment="1"/>
    <xf numFmtId="173" fontId="17" fillId="0" borderId="0" xfId="89" applyNumberFormat="1" applyFont="1" applyFill="1" applyBorder="1" applyAlignment="1">
      <alignment horizontal="left"/>
    </xf>
    <xf numFmtId="3" fontId="17" fillId="0" borderId="0" xfId="211" applyNumberFormat="1" applyAlignment="1">
      <alignment horizontal="right"/>
    </xf>
    <xf numFmtId="3" fontId="17" fillId="0" borderId="0" xfId="211" applyNumberFormat="1" applyAlignment="1">
      <alignment horizontal="center"/>
    </xf>
    <xf numFmtId="0" fontId="0" fillId="0" borderId="0" xfId="0" applyAlignment="1">
      <alignment horizontal="center" wrapText="1"/>
    </xf>
    <xf numFmtId="0" fontId="37" fillId="0" borderId="0" xfId="0" applyFont="1"/>
    <xf numFmtId="0" fontId="24" fillId="0" borderId="0" xfId="249" applyFont="1"/>
    <xf numFmtId="0" fontId="22" fillId="0" borderId="0" xfId="211" applyFont="1" applyAlignment="1">
      <alignment horizontal="left"/>
    </xf>
    <xf numFmtId="173" fontId="17" fillId="0" borderId="14" xfId="89" applyNumberFormat="1" applyFont="1" applyFill="1" applyBorder="1" applyAlignment="1">
      <alignment horizontal="right"/>
    </xf>
    <xf numFmtId="0" fontId="17" fillId="0" borderId="0" xfId="249" applyFont="1" applyAlignment="1">
      <alignment horizontal="center"/>
    </xf>
    <xf numFmtId="0" fontId="10" fillId="0" borderId="0" xfId="211" applyFont="1" applyAlignment="1">
      <alignment horizontal="center"/>
    </xf>
    <xf numFmtId="49" fontId="10" fillId="0" borderId="0" xfId="249" applyNumberFormat="1" applyFont="1" applyAlignment="1">
      <alignment horizontal="center"/>
    </xf>
    <xf numFmtId="3" fontId="15" fillId="0" borderId="0" xfId="0" applyNumberFormat="1" applyFont="1" applyAlignment="1">
      <alignment horizontal="center"/>
    </xf>
    <xf numFmtId="173" fontId="7" fillId="0" borderId="0" xfId="86" applyNumberFormat="1"/>
    <xf numFmtId="0" fontId="17" fillId="0" borderId="0" xfId="0" applyFont="1" applyAlignment="1">
      <alignment horizontal="center"/>
    </xf>
    <xf numFmtId="173" fontId="17" fillId="0" borderId="0" xfId="86" applyNumberFormat="1" applyFont="1"/>
    <xf numFmtId="10" fontId="17" fillId="0" borderId="0" xfId="0" applyNumberFormat="1" applyFont="1"/>
    <xf numFmtId="173" fontId="7" fillId="0" borderId="0" xfId="86" applyNumberFormat="1" applyFill="1"/>
    <xf numFmtId="10" fontId="0" fillId="0" borderId="0" xfId="0" applyNumberFormat="1"/>
    <xf numFmtId="184" fontId="23" fillId="0" borderId="0" xfId="260" applyNumberFormat="1" applyFont="1"/>
    <xf numFmtId="0" fontId="76" fillId="0" borderId="0" xfId="260" applyFont="1"/>
    <xf numFmtId="184" fontId="23" fillId="0" borderId="0" xfId="260" applyNumberFormat="1" applyFont="1" applyAlignment="1">
      <alignment horizontal="center"/>
    </xf>
    <xf numFmtId="0" fontId="17" fillId="0" borderId="0" xfId="260" applyFont="1"/>
    <xf numFmtId="0" fontId="23" fillId="0" borderId="0" xfId="260" applyFont="1"/>
    <xf numFmtId="0" fontId="23" fillId="0" borderId="0" xfId="260" applyFont="1" applyAlignment="1">
      <alignment horizontal="center"/>
    </xf>
    <xf numFmtId="184" fontId="77" fillId="0" borderId="0" xfId="260" applyNumberFormat="1" applyFont="1"/>
    <xf numFmtId="0" fontId="78" fillId="0" borderId="0" xfId="260" applyFont="1"/>
    <xf numFmtId="173" fontId="76" fillId="0" borderId="0" xfId="260" applyNumberFormat="1" applyFont="1"/>
    <xf numFmtId="0" fontId="79" fillId="0" borderId="0" xfId="260" applyFont="1"/>
    <xf numFmtId="184" fontId="17" fillId="0" borderId="0" xfId="260" applyNumberFormat="1" applyFont="1"/>
    <xf numFmtId="0" fontId="80" fillId="0" borderId="0" xfId="256" applyFont="1" applyAlignment="1">
      <alignment horizontal="center"/>
    </xf>
    <xf numFmtId="0" fontId="80" fillId="0" borderId="0" xfId="256" applyFont="1" applyAlignment="1">
      <alignment horizontal="left" indent="2"/>
    </xf>
    <xf numFmtId="39" fontId="80" fillId="0" borderId="0" xfId="256" applyNumberFormat="1" applyFont="1"/>
    <xf numFmtId="0" fontId="17" fillId="0" borderId="0" xfId="260" applyFont="1" applyAlignment="1">
      <alignment horizontal="center"/>
    </xf>
    <xf numFmtId="43" fontId="76" fillId="0" borderId="0" xfId="86" applyFont="1"/>
    <xf numFmtId="173" fontId="76" fillId="0" borderId="14" xfId="86" applyNumberFormat="1" applyFont="1" applyBorder="1"/>
    <xf numFmtId="0" fontId="76" fillId="0" borderId="0" xfId="0" applyFont="1"/>
    <xf numFmtId="0" fontId="83" fillId="0" borderId="0" xfId="260" applyFont="1" applyAlignment="1">
      <alignment horizontal="center"/>
    </xf>
    <xf numFmtId="173" fontId="0" fillId="0" borderId="0" xfId="86" applyNumberFormat="1" applyFont="1" applyFill="1"/>
    <xf numFmtId="173" fontId="0" fillId="0" borderId="0" xfId="0" applyNumberFormat="1"/>
    <xf numFmtId="173" fontId="17" fillId="0" borderId="0" xfId="86" applyNumberFormat="1" applyFont="1" applyFill="1"/>
    <xf numFmtId="0" fontId="14" fillId="0" borderId="0" xfId="249" applyFont="1" applyAlignment="1">
      <alignment horizontal="center" wrapText="1"/>
    </xf>
    <xf numFmtId="38" fontId="17" fillId="0" borderId="0" xfId="0" applyNumberFormat="1" applyFont="1" applyAlignment="1">
      <alignment horizontal="center"/>
    </xf>
    <xf numFmtId="0" fontId="7" fillId="0" borderId="0" xfId="249" applyAlignment="1">
      <alignment horizontal="left"/>
    </xf>
    <xf numFmtId="0" fontId="84" fillId="0" borderId="0" xfId="249" applyFont="1" applyAlignment="1">
      <alignment horizontal="left"/>
    </xf>
    <xf numFmtId="0" fontId="7" fillId="0" borderId="0" xfId="249"/>
    <xf numFmtId="0" fontId="84" fillId="0" borderId="0" xfId="249" applyFont="1"/>
    <xf numFmtId="0" fontId="74" fillId="0" borderId="0" xfId="249" applyFont="1" applyAlignment="1">
      <alignment horizontal="center"/>
    </xf>
    <xf numFmtId="38" fontId="17" fillId="0" borderId="15" xfId="0" applyNumberFormat="1" applyFont="1" applyBorder="1"/>
    <xf numFmtId="0" fontId="85" fillId="0" borderId="0" xfId="211" applyFont="1" applyAlignment="1">
      <alignment horizontal="left"/>
    </xf>
    <xf numFmtId="38" fontId="17" fillId="0" borderId="0" xfId="211" applyNumberFormat="1" applyAlignment="1">
      <alignment horizontal="right"/>
    </xf>
    <xf numFmtId="0" fontId="17" fillId="0" borderId="0" xfId="211" applyAlignment="1">
      <alignment horizontal="right"/>
    </xf>
    <xf numFmtId="38" fontId="17" fillId="0" borderId="0" xfId="0" applyNumberFormat="1" applyFont="1" applyAlignment="1">
      <alignment horizontal="right"/>
    </xf>
    <xf numFmtId="0" fontId="9" fillId="0" borderId="0" xfId="0" applyFont="1" applyAlignment="1">
      <alignment horizontal="center"/>
    </xf>
    <xf numFmtId="0" fontId="9" fillId="0" borderId="0" xfId="211" applyFont="1" applyAlignment="1">
      <alignment horizontal="center"/>
    </xf>
    <xf numFmtId="38" fontId="13" fillId="0" borderId="0" xfId="211" applyNumberFormat="1" applyFont="1"/>
    <xf numFmtId="173" fontId="13" fillId="0" borderId="14" xfId="86" applyNumberFormat="1" applyFont="1" applyFill="1" applyBorder="1" applyAlignment="1"/>
    <xf numFmtId="0" fontId="17" fillId="0" borderId="14" xfId="211" applyBorder="1" applyAlignment="1">
      <alignment horizontal="left"/>
    </xf>
    <xf numFmtId="41" fontId="76" fillId="0" borderId="0" xfId="260" applyNumberFormat="1" applyFont="1"/>
    <xf numFmtId="173" fontId="76" fillId="0" borderId="0" xfId="86" applyNumberFormat="1" applyFont="1" applyFill="1"/>
    <xf numFmtId="3" fontId="9" fillId="0" borderId="0" xfId="0" applyNumberFormat="1" applyFont="1" applyAlignment="1">
      <alignment horizontal="center"/>
    </xf>
    <xf numFmtId="10" fontId="17" fillId="0" borderId="0" xfId="268" applyNumberFormat="1" applyFont="1" applyAlignment="1">
      <alignment horizontal="right"/>
    </xf>
    <xf numFmtId="0" fontId="14" fillId="0" borderId="0" xfId="0" applyFont="1" applyAlignment="1">
      <alignment horizontal="center" wrapText="1"/>
    </xf>
    <xf numFmtId="0" fontId="14" fillId="0" borderId="0" xfId="0" applyFont="1" applyAlignment="1">
      <alignment wrapText="1"/>
    </xf>
    <xf numFmtId="10" fontId="13" fillId="0" borderId="0" xfId="268" applyNumberFormat="1" applyFont="1"/>
    <xf numFmtId="174" fontId="7" fillId="0" borderId="0" xfId="117" applyNumberFormat="1"/>
    <xf numFmtId="0" fontId="9" fillId="0" borderId="0" xfId="0" applyFont="1" applyAlignment="1">
      <alignment horizontal="right"/>
    </xf>
    <xf numFmtId="0" fontId="17" fillId="0" borderId="0" xfId="0" applyFont="1" applyAlignment="1">
      <alignment horizontal="centerContinuous"/>
    </xf>
    <xf numFmtId="0" fontId="14" fillId="0" borderId="0" xfId="0" applyFont="1" applyAlignment="1">
      <alignment horizontal="center"/>
    </xf>
    <xf numFmtId="173" fontId="0" fillId="0" borderId="0" xfId="86" applyNumberFormat="1" applyFont="1"/>
    <xf numFmtId="173" fontId="17" fillId="0" borderId="0" xfId="211" applyNumberFormat="1"/>
    <xf numFmtId="0" fontId="17" fillId="25" borderId="0" xfId="211" applyFill="1" applyAlignment="1">
      <alignment horizontal="center"/>
    </xf>
    <xf numFmtId="0" fontId="14" fillId="25" borderId="0" xfId="211" applyFont="1" applyFill="1" applyAlignment="1">
      <alignment horizontal="left"/>
    </xf>
    <xf numFmtId="0" fontId="13" fillId="25" borderId="0" xfId="211" applyFont="1" applyFill="1"/>
    <xf numFmtId="0" fontId="17" fillId="25" borderId="0" xfId="211" applyFill="1" applyAlignment="1">
      <alignment horizontal="left"/>
    </xf>
    <xf numFmtId="0" fontId="17" fillId="25" borderId="0" xfId="211" applyFill="1"/>
    <xf numFmtId="173" fontId="17" fillId="25" borderId="0" xfId="89" applyNumberFormat="1" applyFont="1" applyFill="1" applyBorder="1" applyAlignment="1">
      <alignment horizontal="right"/>
    </xf>
    <xf numFmtId="0" fontId="0" fillId="25" borderId="0" xfId="0" applyFill="1"/>
    <xf numFmtId="164" fontId="17" fillId="25" borderId="0" xfId="270" applyNumberFormat="1" applyFont="1" applyFill="1" applyBorder="1" applyAlignment="1"/>
    <xf numFmtId="173" fontId="17" fillId="25" borderId="0" xfId="89" applyNumberFormat="1" applyFont="1" applyFill="1" applyBorder="1" applyAlignment="1">
      <alignment horizontal="left"/>
    </xf>
    <xf numFmtId="0" fontId="18" fillId="0" borderId="0" xfId="0" applyFont="1"/>
    <xf numFmtId="0" fontId="22" fillId="0" borderId="0" xfId="211" applyFont="1" applyAlignment="1">
      <alignment horizontal="center"/>
    </xf>
    <xf numFmtId="0" fontId="18" fillId="0" borderId="0" xfId="211" applyFont="1" applyAlignment="1">
      <alignment horizontal="left"/>
    </xf>
    <xf numFmtId="173" fontId="18" fillId="0" borderId="0" xfId="89" applyNumberFormat="1" applyFont="1" applyFill="1" applyBorder="1" applyAlignment="1">
      <alignment horizontal="right"/>
    </xf>
    <xf numFmtId="0" fontId="19" fillId="0" borderId="0" xfId="249" applyFont="1"/>
    <xf numFmtId="0" fontId="87" fillId="0" borderId="0" xfId="249" applyFont="1"/>
    <xf numFmtId="9" fontId="15" fillId="0" borderId="0" xfId="249" quotePrefix="1" applyNumberFormat="1" applyFont="1" applyAlignment="1">
      <alignment horizontal="center"/>
    </xf>
    <xf numFmtId="0" fontId="9" fillId="0" borderId="0" xfId="260" applyFont="1" applyAlignment="1">
      <alignment horizontal="center"/>
    </xf>
    <xf numFmtId="0" fontId="9" fillId="0" borderId="0" xfId="260" applyFont="1"/>
    <xf numFmtId="184" fontId="9" fillId="0" borderId="0" xfId="260" applyNumberFormat="1" applyFont="1" applyAlignment="1">
      <alignment horizontal="center"/>
    </xf>
    <xf numFmtId="0" fontId="14" fillId="0" borderId="0" xfId="260" applyFont="1"/>
    <xf numFmtId="0" fontId="9" fillId="0" borderId="11" xfId="260" applyFont="1" applyBorder="1" applyAlignment="1">
      <alignment horizontal="center"/>
    </xf>
    <xf numFmtId="184" fontId="9" fillId="0" borderId="11" xfId="260" applyNumberFormat="1" applyFont="1" applyBorder="1" applyAlignment="1">
      <alignment horizontal="center"/>
    </xf>
    <xf numFmtId="0" fontId="79" fillId="0" borderId="11" xfId="260" applyFont="1" applyBorder="1" applyAlignment="1">
      <alignment horizontal="center"/>
    </xf>
    <xf numFmtId="0" fontId="14" fillId="0" borderId="0" xfId="260" applyFont="1" applyAlignment="1">
      <alignment horizontal="center"/>
    </xf>
    <xf numFmtId="0" fontId="88" fillId="0" borderId="0" xfId="260" applyFont="1"/>
    <xf numFmtId="0" fontId="14" fillId="0" borderId="0" xfId="0" applyFont="1" applyAlignment="1">
      <alignment horizontal="left"/>
    </xf>
    <xf numFmtId="173" fontId="90" fillId="0" borderId="0" xfId="86" applyNumberFormat="1" applyFont="1" applyFill="1"/>
    <xf numFmtId="173" fontId="76" fillId="0" borderId="0" xfId="86" applyNumberFormat="1" applyFont="1" applyFill="1" applyBorder="1"/>
    <xf numFmtId="41" fontId="91" fillId="26" borderId="0" xfId="260" applyNumberFormat="1" applyFont="1" applyFill="1"/>
    <xf numFmtId="0" fontId="95" fillId="0" borderId="0" xfId="0" applyFont="1" applyAlignment="1">
      <alignment horizontal="center"/>
    </xf>
    <xf numFmtId="0" fontId="94" fillId="0" borderId="0" xfId="249" applyFont="1" applyAlignment="1">
      <alignment horizontal="center"/>
    </xf>
    <xf numFmtId="0" fontId="10" fillId="0" borderId="0" xfId="260" applyFont="1"/>
    <xf numFmtId="173" fontId="10" fillId="0" borderId="0" xfId="260" applyNumberFormat="1" applyFont="1"/>
    <xf numFmtId="164" fontId="0" fillId="0" borderId="0" xfId="268" applyNumberFormat="1" applyFont="1"/>
    <xf numFmtId="173" fontId="98" fillId="0" borderId="0" xfId="260" applyNumberFormat="1" applyFont="1"/>
    <xf numFmtId="0" fontId="28" fillId="0" borderId="0" xfId="249" applyFont="1" applyAlignment="1">
      <alignment horizontal="center"/>
    </xf>
    <xf numFmtId="37" fontId="17" fillId="0" borderId="15" xfId="0" applyNumberFormat="1" applyFont="1" applyBorder="1"/>
    <xf numFmtId="37" fontId="17" fillId="0" borderId="0" xfId="211" applyNumberFormat="1" applyAlignment="1">
      <alignment horizontal="right"/>
    </xf>
    <xf numFmtId="37" fontId="13" fillId="0" borderId="0" xfId="211" applyNumberFormat="1" applyFont="1"/>
    <xf numFmtId="0" fontId="101" fillId="0" borderId="0" xfId="249" applyFont="1"/>
    <xf numFmtId="0" fontId="17" fillId="0" borderId="0" xfId="0" applyFont="1" applyAlignment="1">
      <alignment horizontal="center" wrapText="1"/>
    </xf>
    <xf numFmtId="0" fontId="37" fillId="0" borderId="0" xfId="0" applyFont="1" applyAlignment="1">
      <alignment wrapText="1"/>
    </xf>
    <xf numFmtId="0" fontId="37" fillId="0" borderId="0" xfId="0" applyFont="1" applyAlignment="1">
      <alignment horizontal="center" wrapText="1"/>
    </xf>
    <xf numFmtId="173" fontId="0" fillId="0" borderId="14" xfId="0" applyNumberFormat="1" applyBorder="1"/>
    <xf numFmtId="9" fontId="0" fillId="0" borderId="0" xfId="268" applyFont="1"/>
    <xf numFmtId="0" fontId="103" fillId="0" borderId="0" xfId="0" applyFont="1" applyAlignment="1">
      <alignment horizontal="center" wrapText="1"/>
    </xf>
    <xf numFmtId="0" fontId="23" fillId="0" borderId="0" xfId="256" applyFont="1" applyAlignment="1">
      <alignment horizontal="center"/>
    </xf>
    <xf numFmtId="0" fontId="37" fillId="0" borderId="0" xfId="249" applyFont="1" applyAlignment="1">
      <alignment horizontal="left"/>
    </xf>
    <xf numFmtId="0" fontId="37" fillId="0" borderId="0" xfId="249" applyFont="1"/>
    <xf numFmtId="0" fontId="105" fillId="0" borderId="0" xfId="249" applyFont="1" applyAlignment="1">
      <alignment horizontal="center"/>
    </xf>
    <xf numFmtId="0" fontId="106" fillId="0" borderId="0" xfId="249" applyFont="1"/>
    <xf numFmtId="188" fontId="107" fillId="0" borderId="0" xfId="211" applyNumberFormat="1" applyFont="1" applyAlignment="1">
      <alignment horizontal="center"/>
    </xf>
    <xf numFmtId="38" fontId="0" fillId="0" borderId="0" xfId="0" applyNumberFormat="1"/>
    <xf numFmtId="0" fontId="7" fillId="0" borderId="0" xfId="0" applyFont="1"/>
    <xf numFmtId="3" fontId="18" fillId="0" borderId="0" xfId="211" applyNumberFormat="1" applyFont="1" applyAlignment="1">
      <alignment horizontal="center"/>
    </xf>
    <xf numFmtId="0" fontId="108" fillId="0" borderId="0" xfId="260" applyFont="1"/>
    <xf numFmtId="41" fontId="108" fillId="0" borderId="0" xfId="260" applyNumberFormat="1" applyFont="1"/>
    <xf numFmtId="43" fontId="10" fillId="0" borderId="0" xfId="86" applyFont="1" applyAlignment="1">
      <alignment horizontal="center"/>
    </xf>
    <xf numFmtId="43" fontId="10" fillId="0" borderId="0" xfId="86" applyFont="1" applyBorder="1" applyAlignment="1">
      <alignment horizontal="center"/>
    </xf>
    <xf numFmtId="43" fontId="9" fillId="0" borderId="0" xfId="86" applyFont="1" applyBorder="1" applyAlignment="1">
      <alignment horizontal="center"/>
    </xf>
    <xf numFmtId="43" fontId="9" fillId="0" borderId="0" xfId="86" applyFont="1" applyAlignment="1">
      <alignment horizontal="center"/>
    </xf>
    <xf numFmtId="43" fontId="20" fillId="0" borderId="0" xfId="86" applyFont="1"/>
    <xf numFmtId="0" fontId="9" fillId="0" borderId="11" xfId="260" applyFont="1" applyBorder="1"/>
    <xf numFmtId="0" fontId="76" fillId="0" borderId="0" xfId="260" applyFont="1" applyAlignment="1">
      <alignment horizontal="center"/>
    </xf>
    <xf numFmtId="173" fontId="82" fillId="0" borderId="0" xfId="260" applyNumberFormat="1" applyFont="1"/>
    <xf numFmtId="3" fontId="82" fillId="0" borderId="0" xfId="260" applyNumberFormat="1" applyFont="1"/>
    <xf numFmtId="0" fontId="27" fillId="0" borderId="0" xfId="249" applyFont="1"/>
    <xf numFmtId="38" fontId="31" fillId="0" borderId="13" xfId="249" applyNumberFormat="1" applyFont="1" applyBorder="1" applyAlignment="1">
      <alignment horizontal="right"/>
    </xf>
    <xf numFmtId="0" fontId="37" fillId="0" borderId="0" xfId="249" applyFont="1" applyAlignment="1">
      <alignment horizontal="center"/>
    </xf>
    <xf numFmtId="0" fontId="80" fillId="0" borderId="0" xfId="260" applyFont="1"/>
    <xf numFmtId="10" fontId="8" fillId="0" borderId="0" xfId="261" applyNumberFormat="1"/>
    <xf numFmtId="10" fontId="8" fillId="0" borderId="16" xfId="261" applyNumberFormat="1" applyBorder="1"/>
    <xf numFmtId="192" fontId="8" fillId="0" borderId="16" xfId="261" applyNumberFormat="1" applyBorder="1"/>
    <xf numFmtId="176" fontId="8" fillId="0" borderId="16" xfId="261" applyNumberFormat="1" applyBorder="1"/>
    <xf numFmtId="191" fontId="8" fillId="0" borderId="16" xfId="261" applyNumberFormat="1" applyBorder="1"/>
    <xf numFmtId="194" fontId="8" fillId="0" borderId="0" xfId="261" applyNumberFormat="1"/>
    <xf numFmtId="176" fontId="8" fillId="0" borderId="0" xfId="261" applyNumberFormat="1"/>
    <xf numFmtId="191" fontId="8" fillId="0" borderId="0" xfId="261" applyNumberFormat="1"/>
    <xf numFmtId="10" fontId="121" fillId="0" borderId="0" xfId="261" applyNumberFormat="1" applyFont="1"/>
    <xf numFmtId="173" fontId="124" fillId="0" borderId="0" xfId="0" applyNumberFormat="1" applyFont="1"/>
    <xf numFmtId="0" fontId="111" fillId="0" borderId="0" xfId="211" applyFont="1" applyAlignment="1">
      <alignment horizontal="center"/>
    </xf>
    <xf numFmtId="0" fontId="103" fillId="0" borderId="0" xfId="211" applyFont="1" applyAlignment="1">
      <alignment horizontal="left"/>
    </xf>
    <xf numFmtId="0" fontId="37" fillId="0" borderId="0" xfId="211" applyFont="1" applyAlignment="1">
      <alignment horizontal="center"/>
    </xf>
    <xf numFmtId="0" fontId="37" fillId="0" borderId="0" xfId="211" applyFont="1" applyAlignment="1">
      <alignment horizontal="left"/>
    </xf>
    <xf numFmtId="0" fontId="37" fillId="0" borderId="0" xfId="211" applyFont="1"/>
    <xf numFmtId="3" fontId="37" fillId="0" borderId="0" xfId="211" applyNumberFormat="1" applyFont="1"/>
    <xf numFmtId="0" fontId="111" fillId="0" borderId="0" xfId="211" applyFont="1"/>
    <xf numFmtId="0" fontId="123" fillId="0" borderId="0" xfId="249" applyFont="1" applyAlignment="1">
      <alignment horizontal="center"/>
    </xf>
    <xf numFmtId="0" fontId="103" fillId="0" borderId="0" xfId="0" applyFont="1" applyAlignment="1">
      <alignment horizontal="center"/>
    </xf>
    <xf numFmtId="41" fontId="0" fillId="0" borderId="0" xfId="0" applyNumberFormat="1"/>
    <xf numFmtId="37" fontId="125" fillId="0" borderId="13" xfId="0" applyNumberFormat="1" applyFont="1" applyBorder="1"/>
    <xf numFmtId="0" fontId="31" fillId="0" borderId="0" xfId="0" applyFont="1" applyAlignment="1">
      <alignment horizontal="left"/>
    </xf>
    <xf numFmtId="41" fontId="31" fillId="0" borderId="11" xfId="249" applyNumberFormat="1" applyFont="1" applyBorder="1"/>
    <xf numFmtId="3" fontId="24" fillId="31" borderId="0" xfId="0" applyNumberFormat="1" applyFont="1" applyFill="1"/>
    <xf numFmtId="173" fontId="82" fillId="31" borderId="0" xfId="260" applyNumberFormat="1" applyFont="1" applyFill="1"/>
    <xf numFmtId="0" fontId="76" fillId="31" borderId="0" xfId="260" applyFont="1" applyFill="1" applyAlignment="1">
      <alignment horizontal="center"/>
    </xf>
    <xf numFmtId="174" fontId="0" fillId="0" borderId="0" xfId="117" applyNumberFormat="1" applyFont="1"/>
    <xf numFmtId="3" fontId="37" fillId="31" borderId="0" xfId="211" applyNumberFormat="1" applyFont="1" applyFill="1"/>
    <xf numFmtId="0" fontId="76" fillId="31" borderId="0" xfId="260" applyFont="1" applyFill="1"/>
    <xf numFmtId="172" fontId="8" fillId="0" borderId="0" xfId="259" applyProtection="1"/>
    <xf numFmtId="172" fontId="10" fillId="0" borderId="0" xfId="259" applyFont="1" applyProtection="1"/>
    <xf numFmtId="0" fontId="11" fillId="0" borderId="0" xfId="259" applyNumberFormat="1" applyFont="1" applyAlignment="1" applyProtection="1">
      <alignment horizontal="left"/>
    </xf>
    <xf numFmtId="14" fontId="11" fillId="0" borderId="0" xfId="259" applyNumberFormat="1" applyFont="1" applyProtection="1"/>
    <xf numFmtId="172" fontId="11" fillId="0" borderId="0" xfId="259" applyFont="1" applyProtection="1"/>
    <xf numFmtId="0" fontId="10" fillId="0" borderId="0" xfId="259" applyNumberFormat="1" applyFont="1" applyProtection="1"/>
    <xf numFmtId="0" fontId="10" fillId="0" borderId="0" xfId="259" applyNumberFormat="1" applyFont="1" applyAlignment="1" applyProtection="1">
      <alignment horizontal="right"/>
    </xf>
    <xf numFmtId="0" fontId="24" fillId="0" borderId="0" xfId="86" applyNumberFormat="1" applyFont="1" applyFill="1" applyAlignment="1" applyProtection="1"/>
    <xf numFmtId="3" fontId="10" fillId="0" borderId="0" xfId="259" applyNumberFormat="1" applyFont="1" applyProtection="1"/>
    <xf numFmtId="0" fontId="8" fillId="0" borderId="0" xfId="259" applyNumberFormat="1" applyAlignment="1" applyProtection="1">
      <alignment horizontal="center"/>
    </xf>
    <xf numFmtId="0" fontId="10" fillId="0" borderId="0" xfId="259" applyNumberFormat="1" applyFont="1" applyAlignment="1" applyProtection="1">
      <alignment horizontal="center"/>
    </xf>
    <xf numFmtId="49" fontId="10" fillId="0" borderId="0" xfId="259" applyNumberFormat="1" applyFont="1" applyAlignment="1" applyProtection="1">
      <alignment horizontal="center"/>
    </xf>
    <xf numFmtId="3" fontId="26" fillId="0" borderId="0" xfId="0" applyNumberFormat="1" applyFont="1" applyAlignment="1">
      <alignment horizontal="center"/>
    </xf>
    <xf numFmtId="49" fontId="10" fillId="0" borderId="0" xfId="259" applyNumberFormat="1" applyFont="1" applyProtection="1"/>
    <xf numFmtId="39" fontId="10" fillId="0" borderId="0" xfId="86" applyNumberFormat="1" applyFont="1" applyAlignment="1" applyProtection="1">
      <alignment horizontal="center"/>
    </xf>
    <xf numFmtId="0" fontId="8" fillId="0" borderId="6" xfId="259" applyNumberFormat="1" applyBorder="1" applyAlignment="1" applyProtection="1">
      <alignment horizontal="center"/>
    </xf>
    <xf numFmtId="0" fontId="10" fillId="0" borderId="6" xfId="259" applyNumberFormat="1" applyFont="1" applyBorder="1" applyAlignment="1" applyProtection="1">
      <alignment horizontal="center"/>
    </xf>
    <xf numFmtId="0" fontId="10" fillId="0" borderId="0" xfId="259" applyNumberFormat="1" applyFont="1" applyAlignment="1" applyProtection="1">
      <alignment horizontal="left"/>
    </xf>
    <xf numFmtId="170" fontId="10" fillId="0" borderId="0" xfId="259" applyNumberFormat="1" applyFont="1" applyProtection="1"/>
    <xf numFmtId="3" fontId="10" fillId="0" borderId="0" xfId="259" applyNumberFormat="1" applyFont="1" applyAlignment="1" applyProtection="1">
      <alignment horizontal="left"/>
    </xf>
    <xf numFmtId="0" fontId="10" fillId="0" borderId="6" xfId="259" applyNumberFormat="1" applyFont="1" applyBorder="1" applyAlignment="1" applyProtection="1">
      <alignment horizontal="centerContinuous"/>
    </xf>
    <xf numFmtId="41" fontId="10" fillId="0" borderId="0" xfId="259" applyNumberFormat="1" applyFont="1" applyProtection="1"/>
    <xf numFmtId="3" fontId="10" fillId="0" borderId="0" xfId="259" applyNumberFormat="1" applyFont="1" applyAlignment="1" applyProtection="1">
      <alignment horizontal="center"/>
    </xf>
    <xf numFmtId="165" fontId="10" fillId="0" borderId="0" xfId="259" applyNumberFormat="1" applyFont="1" applyAlignment="1" applyProtection="1">
      <alignment horizontal="right"/>
    </xf>
    <xf numFmtId="42" fontId="10" fillId="0" borderId="0" xfId="259" applyNumberFormat="1" applyFont="1" applyProtection="1"/>
    <xf numFmtId="172" fontId="10" fillId="0" borderId="11" xfId="259" applyFont="1" applyBorder="1" applyProtection="1"/>
    <xf numFmtId="0" fontId="10" fillId="0" borderId="0" xfId="0" applyFont="1" applyAlignment="1">
      <alignment wrapText="1"/>
    </xf>
    <xf numFmtId="174" fontId="10" fillId="0" borderId="14" xfId="259" applyNumberFormat="1" applyFont="1" applyBorder="1" applyProtection="1"/>
    <xf numFmtId="172" fontId="81" fillId="0" borderId="0" xfId="259" applyFont="1" applyAlignment="1" applyProtection="1">
      <alignment horizontal="center" wrapText="1"/>
    </xf>
    <xf numFmtId="43" fontId="10" fillId="0" borderId="0" xfId="86" applyFont="1" applyProtection="1"/>
    <xf numFmtId="171" fontId="10" fillId="0" borderId="0" xfId="259" applyNumberFormat="1" applyFont="1" applyProtection="1"/>
    <xf numFmtId="10" fontId="10" fillId="0" borderId="0" xfId="259" applyNumberFormat="1" applyFont="1" applyProtection="1"/>
    <xf numFmtId="10" fontId="10" fillId="0" borderId="0" xfId="268" applyNumberFormat="1" applyFont="1" applyAlignment="1" applyProtection="1"/>
    <xf numFmtId="185" fontId="10" fillId="0" borderId="0" xfId="259" applyNumberFormat="1" applyFont="1" applyProtection="1"/>
    <xf numFmtId="43" fontId="10" fillId="0" borderId="0" xfId="86" applyFont="1" applyAlignment="1" applyProtection="1"/>
    <xf numFmtId="41" fontId="10" fillId="0" borderId="0" xfId="259" applyNumberFormat="1" applyFont="1" applyAlignment="1" applyProtection="1">
      <alignment horizontal="center"/>
    </xf>
    <xf numFmtId="41" fontId="10" fillId="0" borderId="14" xfId="259" applyNumberFormat="1" applyFont="1" applyBorder="1" applyAlignment="1" applyProtection="1">
      <alignment horizontal="center"/>
    </xf>
    <xf numFmtId="41" fontId="10" fillId="0" borderId="0" xfId="259" applyNumberFormat="1" applyFont="1" applyAlignment="1" applyProtection="1">
      <alignment horizontal="right"/>
    </xf>
    <xf numFmtId="42" fontId="10" fillId="0" borderId="0" xfId="268" applyNumberFormat="1" applyFont="1" applyAlignment="1" applyProtection="1"/>
    <xf numFmtId="43" fontId="10" fillId="0" borderId="0" xfId="259" applyNumberFormat="1" applyFont="1" applyAlignment="1" applyProtection="1">
      <alignment horizontal="right"/>
    </xf>
    <xf numFmtId="172" fontId="10" fillId="0" borderId="0" xfId="259" applyFont="1" applyAlignment="1" applyProtection="1">
      <alignment horizontal="right"/>
    </xf>
    <xf numFmtId="0" fontId="37" fillId="0" borderId="0" xfId="0" applyFont="1" applyAlignment="1">
      <alignment horizontal="center"/>
    </xf>
    <xf numFmtId="49" fontId="10" fillId="0" borderId="0" xfId="259" applyNumberFormat="1" applyFont="1" applyAlignment="1" applyProtection="1">
      <alignment horizontal="left"/>
    </xf>
    <xf numFmtId="0" fontId="8" fillId="0" borderId="0" xfId="259" applyNumberFormat="1" applyAlignment="1" applyProtection="1">
      <alignment horizontal="center" vertical="center"/>
    </xf>
    <xf numFmtId="3" fontId="11" fillId="0" borderId="0" xfId="259" applyNumberFormat="1" applyFont="1" applyAlignment="1" applyProtection="1">
      <alignment horizontal="center"/>
    </xf>
    <xf numFmtId="172" fontId="11" fillId="0" borderId="0" xfId="259" applyFont="1" applyAlignment="1" applyProtection="1">
      <alignment horizontal="center"/>
    </xf>
    <xf numFmtId="49" fontId="11" fillId="0" borderId="0" xfId="259" applyNumberFormat="1" applyFont="1" applyAlignment="1" applyProtection="1">
      <alignment horizontal="center"/>
    </xf>
    <xf numFmtId="0" fontId="15" fillId="0" borderId="0" xfId="259" applyNumberFormat="1" applyFont="1" applyAlignment="1" applyProtection="1">
      <alignment horizontal="center"/>
    </xf>
    <xf numFmtId="172" fontId="15" fillId="0" borderId="0" xfId="259" applyFont="1" applyAlignment="1" applyProtection="1">
      <alignment horizontal="center"/>
    </xf>
    <xf numFmtId="3" fontId="11" fillId="0" borderId="0" xfId="259" applyNumberFormat="1" applyFont="1" applyProtection="1"/>
    <xf numFmtId="173" fontId="10" fillId="0" borderId="0" xfId="86" applyNumberFormat="1" applyFont="1" applyFill="1" applyAlignment="1" applyProtection="1"/>
    <xf numFmtId="0" fontId="10" fillId="0" borderId="0" xfId="259" applyNumberFormat="1" applyFont="1" applyAlignment="1" applyProtection="1">
      <alignment vertical="center"/>
    </xf>
    <xf numFmtId="3" fontId="10" fillId="0" borderId="0" xfId="259" applyNumberFormat="1" applyFont="1" applyAlignment="1" applyProtection="1">
      <alignment vertical="center" wrapText="1"/>
    </xf>
    <xf numFmtId="3" fontId="10" fillId="0" borderId="0" xfId="259" applyNumberFormat="1" applyFont="1" applyAlignment="1" applyProtection="1">
      <alignment horizontal="center" vertical="center"/>
    </xf>
    <xf numFmtId="3" fontId="10" fillId="0" borderId="0" xfId="259" applyNumberFormat="1" applyFont="1" applyAlignment="1" applyProtection="1">
      <alignment vertical="center"/>
    </xf>
    <xf numFmtId="41" fontId="10" fillId="0" borderId="0" xfId="259" applyNumberFormat="1" applyFont="1" applyAlignment="1" applyProtection="1">
      <alignment vertical="center"/>
    </xf>
    <xf numFmtId="41" fontId="10" fillId="0" borderId="6" xfId="259" applyNumberFormat="1" applyFont="1" applyBorder="1" applyProtection="1"/>
    <xf numFmtId="178" fontId="11" fillId="0" borderId="0" xfId="259" applyNumberFormat="1" applyFont="1" applyAlignment="1" applyProtection="1">
      <alignment horizontal="right"/>
    </xf>
    <xf numFmtId="181" fontId="11" fillId="0" borderId="0" xfId="86" applyNumberFormat="1" applyFont="1" applyFill="1" applyAlignment="1" applyProtection="1"/>
    <xf numFmtId="178" fontId="10" fillId="0" borderId="0" xfId="259" applyNumberFormat="1" applyFont="1" applyProtection="1"/>
    <xf numFmtId="183" fontId="10" fillId="0" borderId="0" xfId="259" applyNumberFormat="1" applyFont="1" applyProtection="1"/>
    <xf numFmtId="182" fontId="10" fillId="0" borderId="0" xfId="259" applyNumberFormat="1" applyFont="1" applyProtection="1"/>
    <xf numFmtId="165" fontId="10" fillId="0" borderId="0" xfId="259" applyNumberFormat="1" applyFont="1" applyProtection="1"/>
    <xf numFmtId="0" fontId="10" fillId="0" borderId="0" xfId="259" applyNumberFormat="1" applyFont="1" applyAlignment="1" applyProtection="1">
      <alignment horizontal="center" vertical="center"/>
    </xf>
    <xf numFmtId="164" fontId="10" fillId="0" borderId="0" xfId="259" applyNumberFormat="1" applyFont="1" applyAlignment="1" applyProtection="1">
      <alignment horizontal="center"/>
    </xf>
    <xf numFmtId="177" fontId="10" fillId="0" borderId="0" xfId="86" applyNumberFormat="1" applyFont="1" applyFill="1" applyAlignment="1" applyProtection="1">
      <alignment horizontal="center"/>
    </xf>
    <xf numFmtId="3" fontId="11" fillId="0" borderId="0" xfId="259" applyNumberFormat="1" applyFont="1" applyAlignment="1" applyProtection="1">
      <alignment horizontal="right"/>
    </xf>
    <xf numFmtId="181" fontId="10" fillId="0" borderId="0" xfId="86" applyNumberFormat="1" applyFont="1" applyFill="1" applyAlignment="1" applyProtection="1"/>
    <xf numFmtId="164" fontId="10" fillId="0" borderId="0" xfId="259" applyNumberFormat="1" applyFont="1" applyAlignment="1" applyProtection="1">
      <alignment horizontal="left"/>
    </xf>
    <xf numFmtId="10" fontId="10" fillId="0" borderId="0" xfId="268" applyNumberFormat="1" applyFont="1" applyFill="1" applyAlignment="1" applyProtection="1"/>
    <xf numFmtId="175" fontId="10" fillId="0" borderId="0" xfId="259" applyNumberFormat="1" applyFont="1" applyProtection="1"/>
    <xf numFmtId="41" fontId="10" fillId="0" borderId="0" xfId="259" applyNumberFormat="1" applyFont="1" applyAlignment="1" applyProtection="1">
      <alignment horizontal="center" vertical="center"/>
    </xf>
    <xf numFmtId="0" fontId="93" fillId="0" borderId="0" xfId="259" applyNumberFormat="1" applyFont="1" applyAlignment="1" applyProtection="1">
      <alignment horizontal="center"/>
    </xf>
    <xf numFmtId="3" fontId="10" fillId="0" borderId="0" xfId="259" applyNumberFormat="1" applyFont="1" applyAlignment="1" applyProtection="1">
      <alignment horizontal="right"/>
    </xf>
    <xf numFmtId="172" fontId="10" fillId="0" borderId="0" xfId="259" applyFont="1" applyAlignment="1" applyProtection="1">
      <alignment horizontal="center"/>
    </xf>
    <xf numFmtId="0" fontId="11" fillId="0" borderId="0" xfId="259" applyNumberFormat="1" applyFont="1" applyAlignment="1" applyProtection="1">
      <alignment horizontal="center"/>
    </xf>
    <xf numFmtId="3" fontId="15" fillId="0" borderId="0" xfId="259" applyNumberFormat="1" applyFont="1" applyAlignment="1" applyProtection="1">
      <alignment horizontal="center"/>
    </xf>
    <xf numFmtId="3" fontId="15" fillId="0" borderId="0" xfId="259" applyNumberFormat="1" applyFont="1" applyProtection="1"/>
    <xf numFmtId="43" fontId="17" fillId="0" borderId="0" xfId="86" applyFont="1" applyAlignment="1" applyProtection="1"/>
    <xf numFmtId="3" fontId="102" fillId="0" borderId="0" xfId="259" applyNumberFormat="1" applyFont="1" applyAlignment="1" applyProtection="1">
      <alignment horizontal="right"/>
    </xf>
    <xf numFmtId="43" fontId="10" fillId="0" borderId="0" xfId="268" applyNumberFormat="1" applyFont="1" applyFill="1" applyAlignment="1" applyProtection="1"/>
    <xf numFmtId="166" fontId="10" fillId="0" borderId="0" xfId="259" applyNumberFormat="1" applyFont="1" applyProtection="1"/>
    <xf numFmtId="167" fontId="10" fillId="0" borderId="0" xfId="259" applyNumberFormat="1" applyFont="1" applyProtection="1"/>
    <xf numFmtId="172" fontId="28" fillId="0" borderId="0" xfId="259" applyFont="1" applyProtection="1"/>
    <xf numFmtId="168" fontId="10" fillId="0" borderId="0" xfId="259" applyNumberFormat="1" applyFont="1" applyProtection="1"/>
    <xf numFmtId="10" fontId="10" fillId="0" borderId="0" xfId="259" applyNumberFormat="1" applyFont="1" applyAlignment="1" applyProtection="1">
      <alignment horizontal="right"/>
    </xf>
    <xf numFmtId="10" fontId="37" fillId="0" borderId="0" xfId="268" applyNumberFormat="1" applyFont="1" applyProtection="1"/>
    <xf numFmtId="3" fontId="28" fillId="0" borderId="0" xfId="259" applyNumberFormat="1" applyFont="1" applyProtection="1"/>
    <xf numFmtId="166" fontId="10" fillId="0" borderId="0" xfId="259" applyNumberFormat="1" applyFont="1" applyAlignment="1" applyProtection="1">
      <alignment horizontal="center"/>
    </xf>
    <xf numFmtId="186" fontId="28" fillId="0" borderId="0" xfId="259" applyNumberFormat="1" applyFont="1" applyAlignment="1" applyProtection="1">
      <alignment horizontal="center"/>
    </xf>
    <xf numFmtId="187" fontId="10" fillId="0" borderId="0" xfId="259" applyNumberFormat="1" applyFont="1" applyProtection="1"/>
    <xf numFmtId="179" fontId="10" fillId="0" borderId="0" xfId="259" applyNumberFormat="1" applyFont="1" applyAlignment="1" applyProtection="1">
      <alignment horizontal="right"/>
    </xf>
    <xf numFmtId="185" fontId="10" fillId="0" borderId="0" xfId="86" applyNumberFormat="1" applyFont="1" applyAlignment="1" applyProtection="1">
      <alignment horizontal="center"/>
    </xf>
    <xf numFmtId="41" fontId="28" fillId="0" borderId="0" xfId="259" applyNumberFormat="1" applyFont="1" applyProtection="1"/>
    <xf numFmtId="43" fontId="28" fillId="0" borderId="0" xfId="86" applyFont="1" applyAlignment="1" applyProtection="1"/>
    <xf numFmtId="179" fontId="10" fillId="0" borderId="0" xfId="259" applyNumberFormat="1" applyFont="1" applyAlignment="1" applyProtection="1">
      <alignment horizontal="center"/>
    </xf>
    <xf numFmtId="10" fontId="10" fillId="0" borderId="0" xfId="259" applyNumberFormat="1" applyFont="1" applyAlignment="1" applyProtection="1">
      <alignment horizontal="left"/>
    </xf>
    <xf numFmtId="186" fontId="10" fillId="0" borderId="0" xfId="259" applyNumberFormat="1" applyFont="1" applyAlignment="1" applyProtection="1">
      <alignment horizontal="center"/>
    </xf>
    <xf numFmtId="168" fontId="10" fillId="0" borderId="0" xfId="259" applyNumberFormat="1" applyFont="1" applyAlignment="1" applyProtection="1">
      <alignment horizontal="left"/>
    </xf>
    <xf numFmtId="41" fontId="10" fillId="0" borderId="11" xfId="259" applyNumberFormat="1" applyFont="1" applyBorder="1" applyProtection="1"/>
    <xf numFmtId="179" fontId="10" fillId="0" borderId="0" xfId="259" applyNumberFormat="1" applyFont="1" applyProtection="1"/>
    <xf numFmtId="164" fontId="10" fillId="0" borderId="0" xfId="259" applyNumberFormat="1" applyFont="1" applyAlignment="1" applyProtection="1">
      <alignment horizontal="left" vertical="center"/>
    </xf>
    <xf numFmtId="180" fontId="10" fillId="0" borderId="0" xfId="259" applyNumberFormat="1" applyFont="1" applyProtection="1"/>
    <xf numFmtId="173" fontId="10" fillId="0" borderId="14" xfId="86" applyNumberFormat="1" applyFont="1" applyBorder="1" applyAlignment="1" applyProtection="1"/>
    <xf numFmtId="0" fontId="11" fillId="0" borderId="0" xfId="259" applyNumberFormat="1" applyFont="1" applyProtection="1"/>
    <xf numFmtId="0" fontId="10" fillId="0" borderId="0" xfId="0" applyFont="1" applyAlignment="1">
      <alignment horizontal="left"/>
    </xf>
    <xf numFmtId="173" fontId="10" fillId="0" borderId="6" xfId="86" applyNumberFormat="1" applyFont="1" applyBorder="1" applyAlignment="1" applyProtection="1"/>
    <xf numFmtId="165" fontId="11" fillId="0" borderId="0" xfId="259" applyNumberFormat="1" applyFont="1" applyAlignment="1" applyProtection="1">
      <alignment horizontal="right"/>
    </xf>
    <xf numFmtId="3" fontId="10" fillId="0" borderId="0" xfId="259" applyNumberFormat="1" applyFont="1" applyAlignment="1" applyProtection="1">
      <alignment horizontal="center" wrapText="1"/>
    </xf>
    <xf numFmtId="4" fontId="10" fillId="0" borderId="0" xfId="259" applyNumberFormat="1" applyFont="1" applyProtection="1"/>
    <xf numFmtId="173" fontId="10" fillId="0" borderId="6" xfId="86" applyNumberFormat="1" applyFont="1" applyFill="1" applyBorder="1" applyAlignment="1" applyProtection="1"/>
    <xf numFmtId="172" fontId="11" fillId="0" borderId="0" xfId="259" applyFont="1" applyAlignment="1" applyProtection="1">
      <alignment horizontal="right"/>
    </xf>
    <xf numFmtId="165" fontId="11" fillId="0" borderId="0" xfId="259" applyNumberFormat="1" applyFont="1" applyProtection="1"/>
    <xf numFmtId="166" fontId="11" fillId="0" borderId="0" xfId="259" applyNumberFormat="1" applyFont="1" applyProtection="1"/>
    <xf numFmtId="3" fontId="10" fillId="0" borderId="6" xfId="259" applyNumberFormat="1" applyFont="1" applyBorder="1" applyAlignment="1" applyProtection="1">
      <alignment horizontal="center"/>
    </xf>
    <xf numFmtId="0" fontId="19" fillId="0" borderId="0" xfId="259" applyNumberFormat="1" applyFont="1" applyAlignment="1" applyProtection="1">
      <alignment horizontal="left"/>
    </xf>
    <xf numFmtId="181" fontId="10" fillId="0" borderId="0" xfId="86" applyNumberFormat="1" applyFont="1" applyFill="1" applyAlignment="1" applyProtection="1">
      <alignment horizontal="center"/>
    </xf>
    <xf numFmtId="181" fontId="10" fillId="0" borderId="6" xfId="86" applyNumberFormat="1" applyFont="1" applyFill="1" applyBorder="1" applyAlignment="1" applyProtection="1">
      <alignment horizontal="center"/>
    </xf>
    <xf numFmtId="185" fontId="10" fillId="0" borderId="0" xfId="86" applyNumberFormat="1" applyFont="1" applyFill="1" applyAlignment="1" applyProtection="1"/>
    <xf numFmtId="169" fontId="10" fillId="0" borderId="15" xfId="259" applyNumberFormat="1" applyFont="1" applyBorder="1" applyProtection="1"/>
    <xf numFmtId="3" fontId="10" fillId="0" borderId="0" xfId="259" quotePrefix="1" applyNumberFormat="1" applyFont="1" applyProtection="1"/>
    <xf numFmtId="169" fontId="10" fillId="0" borderId="0" xfId="259" applyNumberFormat="1" applyFont="1" applyProtection="1"/>
    <xf numFmtId="169" fontId="10" fillId="0" borderId="6" xfId="259" applyNumberFormat="1" applyFont="1" applyBorder="1" applyProtection="1"/>
    <xf numFmtId="181" fontId="27" fillId="0" borderId="0" xfId="86" applyNumberFormat="1" applyFont="1" applyFill="1" applyProtection="1"/>
    <xf numFmtId="169" fontId="11" fillId="0" borderId="0" xfId="259" applyNumberFormat="1" applyFont="1" applyProtection="1"/>
    <xf numFmtId="3" fontId="11" fillId="0" borderId="0" xfId="259" quotePrefix="1" applyNumberFormat="1" applyFont="1" applyProtection="1"/>
    <xf numFmtId="172" fontId="8" fillId="0" borderId="0" xfId="259" applyAlignment="1" applyProtection="1">
      <alignment horizontal="center"/>
    </xf>
    <xf numFmtId="0" fontId="31" fillId="0" borderId="0" xfId="259" applyNumberFormat="1" applyFont="1" applyProtection="1"/>
    <xf numFmtId="0" fontId="123" fillId="0" borderId="0" xfId="259" applyNumberFormat="1" applyFont="1" applyProtection="1"/>
    <xf numFmtId="172" fontId="31" fillId="0" borderId="0" xfId="259" applyFont="1" applyProtection="1"/>
    <xf numFmtId="0" fontId="31" fillId="0" borderId="0" xfId="0" applyFont="1" applyAlignment="1">
      <alignment vertical="top" wrapText="1"/>
    </xf>
    <xf numFmtId="172" fontId="31" fillId="0" borderId="0" xfId="259" applyFont="1" applyAlignment="1" applyProtection="1">
      <alignment wrapText="1"/>
    </xf>
    <xf numFmtId="172" fontId="123" fillId="0" borderId="0" xfId="259" applyFont="1" applyProtection="1"/>
    <xf numFmtId="0" fontId="8" fillId="0" borderId="0" xfId="259" applyNumberFormat="1" applyProtection="1"/>
    <xf numFmtId="0" fontId="92" fillId="0" borderId="0" xfId="259" applyNumberFormat="1" applyFont="1" applyAlignment="1" applyProtection="1">
      <alignment horizontal="center"/>
    </xf>
    <xf numFmtId="0" fontId="22" fillId="0" borderId="0" xfId="0" applyFont="1" applyAlignment="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8" fillId="0" borderId="0" xfId="0" applyFont="1"/>
    <xf numFmtId="0" fontId="8" fillId="0" borderId="0" xfId="263" applyFont="1"/>
    <xf numFmtId="0" fontId="8" fillId="0" borderId="0" xfId="263" applyFont="1" applyAlignment="1">
      <alignment horizontal="right"/>
    </xf>
    <xf numFmtId="0" fontId="15" fillId="0" borderId="0" xfId="263" applyFont="1" applyAlignment="1">
      <alignment horizontal="center"/>
    </xf>
    <xf numFmtId="0" fontId="10" fillId="0" borderId="0" xfId="263" applyFont="1"/>
    <xf numFmtId="0" fontId="86" fillId="0" borderId="0" xfId="263" applyFont="1"/>
    <xf numFmtId="0" fontId="31" fillId="0" borderId="0" xfId="0" applyFont="1" applyAlignment="1">
      <alignment horizontal="center"/>
    </xf>
    <xf numFmtId="0" fontId="8" fillId="0" borderId="0" xfId="0" applyFont="1" applyAlignment="1">
      <alignment horizontal="right"/>
    </xf>
    <xf numFmtId="0" fontId="11" fillId="0" borderId="0" xfId="263" applyFont="1"/>
    <xf numFmtId="0" fontId="31" fillId="0" borderId="0" xfId="263" applyFont="1" applyAlignment="1">
      <alignment horizontal="center"/>
    </xf>
    <xf numFmtId="0" fontId="14" fillId="0" borderId="0" xfId="263" applyFont="1" applyAlignment="1">
      <alignment horizontal="center"/>
    </xf>
    <xf numFmtId="0" fontId="14" fillId="0" borderId="0" xfId="263" applyFont="1"/>
    <xf numFmtId="0" fontId="17" fillId="0" borderId="0" xfId="263" applyFont="1"/>
    <xf numFmtId="173" fontId="17" fillId="0" borderId="0" xfId="263" applyNumberFormat="1" applyFont="1"/>
    <xf numFmtId="0" fontId="112" fillId="0" borderId="0" xfId="0" applyFont="1"/>
    <xf numFmtId="0" fontId="103" fillId="0" borderId="0" xfId="263" applyFont="1" applyAlignment="1">
      <alignment horizontal="center"/>
    </xf>
    <xf numFmtId="0" fontId="103" fillId="0" borderId="0" xfId="263" applyFont="1"/>
    <xf numFmtId="0" fontId="111" fillId="0" borderId="0" xfId="0" applyFont="1"/>
    <xf numFmtId="0" fontId="111" fillId="0" borderId="0" xfId="263" applyFont="1"/>
    <xf numFmtId="172" fontId="17" fillId="0" borderId="0" xfId="263" applyNumberFormat="1" applyFont="1" applyAlignment="1">
      <alignment horizontal="center"/>
    </xf>
    <xf numFmtId="43" fontId="17" fillId="0" borderId="0" xfId="115" applyFont="1" applyFill="1" applyProtection="1"/>
    <xf numFmtId="43" fontId="111" fillId="0" borderId="0" xfId="115" applyFont="1" applyFill="1" applyProtection="1"/>
    <xf numFmtId="184" fontId="17" fillId="0" borderId="0" xfId="0" applyNumberFormat="1" applyFont="1"/>
    <xf numFmtId="173" fontId="17" fillId="0" borderId="13" xfId="0" applyNumberFormat="1" applyFont="1" applyBorder="1"/>
    <xf numFmtId="173" fontId="17" fillId="0" borderId="13" xfId="263" applyNumberFormat="1" applyFont="1" applyBorder="1"/>
    <xf numFmtId="173" fontId="10" fillId="0" borderId="0" xfId="263" applyNumberFormat="1" applyFont="1"/>
    <xf numFmtId="0" fontId="17" fillId="0" borderId="0" xfId="0" applyFont="1" applyAlignment="1">
      <alignment vertical="top" wrapText="1"/>
    </xf>
    <xf numFmtId="0" fontId="11" fillId="0" borderId="0" xfId="0" applyFont="1" applyAlignment="1">
      <alignment horizontal="center"/>
    </xf>
    <xf numFmtId="173" fontId="11" fillId="0" borderId="0" xfId="0" applyNumberFormat="1" applyFont="1" applyAlignment="1">
      <alignment horizontal="center"/>
    </xf>
    <xf numFmtId="173" fontId="7" fillId="0" borderId="0" xfId="86" applyNumberFormat="1" applyProtection="1"/>
    <xf numFmtId="0" fontId="16" fillId="0" borderId="0" xfId="0" applyFont="1"/>
    <xf numFmtId="0" fontId="23" fillId="0" borderId="0" xfId="0" applyFont="1" applyAlignment="1">
      <alignment horizontal="left"/>
    </xf>
    <xf numFmtId="0" fontId="71" fillId="0" borderId="0" xfId="0" applyFont="1"/>
    <xf numFmtId="0" fontId="11" fillId="0" borderId="0" xfId="0" applyFont="1" applyAlignment="1">
      <alignment horizontal="left"/>
    </xf>
    <xf numFmtId="0" fontId="17" fillId="0" borderId="0" xfId="259" applyNumberFormat="1" applyFont="1" applyProtection="1"/>
    <xf numFmtId="3" fontId="17" fillId="0" borderId="0" xfId="259" applyNumberFormat="1" applyFont="1" applyProtection="1"/>
    <xf numFmtId="10" fontId="7" fillId="0" borderId="0" xfId="268" applyNumberFormat="1" applyAlignment="1" applyProtection="1">
      <alignment horizontal="right"/>
    </xf>
    <xf numFmtId="172" fontId="17" fillId="0" borderId="0" xfId="259" applyFont="1" applyProtection="1"/>
    <xf numFmtId="10" fontId="17" fillId="0" borderId="0" xfId="268" applyNumberFormat="1" applyFont="1" applyFill="1" applyAlignment="1" applyProtection="1">
      <alignment horizontal="right"/>
    </xf>
    <xf numFmtId="3" fontId="14" fillId="0" borderId="0" xfId="259" applyNumberFormat="1" applyFont="1" applyProtection="1"/>
    <xf numFmtId="10" fontId="17" fillId="0" borderId="0" xfId="259" applyNumberFormat="1" applyFont="1" applyAlignment="1" applyProtection="1">
      <alignment horizontal="right"/>
    </xf>
    <xf numFmtId="3" fontId="18" fillId="0" borderId="0" xfId="259" applyNumberFormat="1" applyFont="1" applyAlignment="1" applyProtection="1">
      <alignment horizontal="center"/>
    </xf>
    <xf numFmtId="10" fontId="18" fillId="0" borderId="0" xfId="259" applyNumberFormat="1" applyFont="1" applyAlignment="1" applyProtection="1">
      <alignment horizontal="center"/>
    </xf>
    <xf numFmtId="0" fontId="17" fillId="0" borderId="0" xfId="259" applyNumberFormat="1" applyFont="1" applyAlignment="1" applyProtection="1">
      <alignment horizontal="right"/>
    </xf>
    <xf numFmtId="10" fontId="0" fillId="0" borderId="0" xfId="0" applyNumberFormat="1" applyAlignment="1">
      <alignment horizontal="center"/>
    </xf>
    <xf numFmtId="164" fontId="17" fillId="0" borderId="0" xfId="268" applyNumberFormat="1" applyFont="1" applyAlignment="1" applyProtection="1"/>
    <xf numFmtId="166" fontId="17" fillId="0" borderId="0" xfId="259" applyNumberFormat="1" applyFont="1" applyAlignment="1" applyProtection="1">
      <alignment horizontal="center"/>
    </xf>
    <xf numFmtId="41" fontId="17" fillId="0" borderId="0" xfId="259" applyNumberFormat="1" applyFont="1" applyProtection="1"/>
    <xf numFmtId="41" fontId="17" fillId="0" borderId="0" xfId="259" applyNumberFormat="1" applyFont="1" applyAlignment="1" applyProtection="1">
      <alignment horizontal="center"/>
    </xf>
    <xf numFmtId="164" fontId="18" fillId="0" borderId="0" xfId="268" applyNumberFormat="1" applyFont="1" applyAlignment="1" applyProtection="1"/>
    <xf numFmtId="3" fontId="17" fillId="0" borderId="0" xfId="259" applyNumberFormat="1" applyFont="1" applyAlignment="1" applyProtection="1">
      <alignment horizontal="right"/>
    </xf>
    <xf numFmtId="172" fontId="7" fillId="0" borderId="17" xfId="259" applyFont="1" applyBorder="1" applyProtection="1"/>
    <xf numFmtId="0" fontId="7" fillId="0" borderId="0" xfId="259" applyNumberFormat="1" applyFont="1" applyAlignment="1" applyProtection="1">
      <alignment horizontal="center"/>
    </xf>
    <xf numFmtId="172" fontId="7" fillId="0" borderId="0" xfId="259" applyFont="1" applyProtection="1"/>
    <xf numFmtId="3" fontId="7" fillId="0" borderId="18" xfId="259" applyNumberFormat="1" applyFont="1" applyBorder="1" applyProtection="1"/>
    <xf numFmtId="10" fontId="17" fillId="0" borderId="0" xfId="259" applyNumberFormat="1" applyFont="1" applyAlignment="1" applyProtection="1">
      <alignment horizontal="left"/>
    </xf>
    <xf numFmtId="0" fontId="7" fillId="0" borderId="17" xfId="0" applyFont="1" applyBorder="1"/>
    <xf numFmtId="0" fontId="7" fillId="0" borderId="18" xfId="0" applyFont="1" applyBorder="1"/>
    <xf numFmtId="166" fontId="7" fillId="0" borderId="19" xfId="259" applyNumberFormat="1" applyFont="1" applyBorder="1" applyAlignment="1" applyProtection="1">
      <alignment horizontal="center"/>
    </xf>
    <xf numFmtId="0" fontId="7" fillId="0" borderId="6" xfId="259" applyNumberFormat="1" applyFont="1" applyBorder="1" applyAlignment="1" applyProtection="1">
      <alignment horizontal="center"/>
    </xf>
    <xf numFmtId="174" fontId="7" fillId="0" borderId="20" xfId="0" applyNumberFormat="1" applyFont="1" applyBorder="1"/>
    <xf numFmtId="41" fontId="7" fillId="0" borderId="0" xfId="259" applyNumberFormat="1" applyFont="1" applyProtection="1"/>
    <xf numFmtId="0" fontId="17" fillId="31" borderId="0" xfId="259" applyNumberFormat="1" applyFont="1" applyFill="1" applyProtection="1"/>
    <xf numFmtId="41" fontId="17" fillId="0" borderId="0" xfId="259" applyNumberFormat="1" applyFont="1" applyAlignment="1" applyProtection="1">
      <alignment horizontal="left"/>
    </xf>
    <xf numFmtId="41" fontId="7" fillId="0" borderId="0" xfId="259" applyNumberFormat="1" applyFont="1" applyAlignment="1" applyProtection="1">
      <alignment horizontal="right"/>
    </xf>
    <xf numFmtId="167" fontId="17" fillId="0" borderId="0" xfId="259" applyNumberFormat="1" applyFont="1" applyProtection="1"/>
    <xf numFmtId="164" fontId="17" fillId="0" borderId="0" xfId="259" applyNumberFormat="1" applyFont="1" applyAlignment="1" applyProtection="1">
      <alignment horizontal="left"/>
    </xf>
    <xf numFmtId="3" fontId="17" fillId="0" borderId="0" xfId="259" applyNumberFormat="1" applyFont="1" applyAlignment="1" applyProtection="1">
      <alignment vertical="center" wrapText="1"/>
    </xf>
    <xf numFmtId="41" fontId="17" fillId="0" borderId="0" xfId="259" applyNumberFormat="1" applyFont="1" applyAlignment="1" applyProtection="1">
      <alignment vertical="center"/>
    </xf>
    <xf numFmtId="41" fontId="17" fillId="0" borderId="0" xfId="259" applyNumberFormat="1" applyFont="1" applyAlignment="1" applyProtection="1">
      <alignment horizontal="center" vertical="center"/>
    </xf>
    <xf numFmtId="41" fontId="17" fillId="0" borderId="0" xfId="259" applyNumberFormat="1" applyFont="1" applyAlignment="1" applyProtection="1">
      <alignment horizontal="right"/>
    </xf>
    <xf numFmtId="173" fontId="17" fillId="0" borderId="0" xfId="86" applyNumberFormat="1" applyFont="1" applyProtection="1"/>
    <xf numFmtId="41" fontId="17" fillId="0" borderId="0" xfId="0" applyNumberFormat="1" applyFont="1"/>
    <xf numFmtId="41" fontId="17" fillId="0" borderId="11" xfId="259" applyNumberFormat="1" applyFont="1" applyBorder="1" applyProtection="1"/>
    <xf numFmtId="41" fontId="18" fillId="0" borderId="0" xfId="259" applyNumberFormat="1" applyFont="1" applyProtection="1"/>
    <xf numFmtId="3" fontId="17" fillId="0" borderId="0" xfId="259" applyNumberFormat="1" applyFont="1" applyAlignment="1" applyProtection="1">
      <alignment horizontal="center"/>
    </xf>
    <xf numFmtId="0" fontId="17" fillId="0" borderId="0" xfId="259" applyNumberFormat="1" applyFont="1" applyAlignment="1" applyProtection="1">
      <alignment horizontal="center"/>
    </xf>
    <xf numFmtId="10" fontId="17" fillId="0" borderId="0" xfId="259" applyNumberFormat="1" applyFont="1" applyProtection="1"/>
    <xf numFmtId="169" fontId="17" fillId="0" borderId="0" xfId="259" applyNumberFormat="1" applyFont="1" applyProtection="1"/>
    <xf numFmtId="169" fontId="14" fillId="0" borderId="0" xfId="259" applyNumberFormat="1" applyFont="1" applyProtection="1"/>
    <xf numFmtId="173" fontId="17" fillId="0" borderId="0" xfId="86" applyNumberFormat="1" applyFont="1" applyFill="1" applyBorder="1" applyProtection="1"/>
    <xf numFmtId="41" fontId="18" fillId="0" borderId="0" xfId="0" applyNumberFormat="1" applyFont="1"/>
    <xf numFmtId="181" fontId="17" fillId="0" borderId="0" xfId="86" applyNumberFormat="1" applyFont="1" applyProtection="1"/>
    <xf numFmtId="10" fontId="18" fillId="0" borderId="0" xfId="0" applyNumberFormat="1" applyFont="1"/>
    <xf numFmtId="0" fontId="17" fillId="31" borderId="0" xfId="0" applyFont="1" applyFill="1"/>
    <xf numFmtId="173" fontId="17" fillId="0" borderId="0" xfId="86" applyNumberFormat="1" applyFont="1" applyFill="1" applyProtection="1"/>
    <xf numFmtId="173" fontId="17" fillId="0" borderId="0" xfId="86" applyNumberFormat="1" applyFont="1" applyBorder="1" applyProtection="1"/>
    <xf numFmtId="43" fontId="17" fillId="0" borderId="0" xfId="86" applyFont="1" applyProtection="1"/>
    <xf numFmtId="173" fontId="17" fillId="0" borderId="0" xfId="0" applyNumberFormat="1" applyFont="1"/>
    <xf numFmtId="0" fontId="73" fillId="0" borderId="0" xfId="0" applyFont="1"/>
    <xf numFmtId="174" fontId="17" fillId="0" borderId="0" xfId="0" applyNumberFormat="1" applyFont="1"/>
    <xf numFmtId="0" fontId="11" fillId="0" borderId="0" xfId="0" applyFont="1"/>
    <xf numFmtId="0" fontId="14" fillId="0" borderId="21" xfId="0" applyFont="1" applyBorder="1"/>
    <xf numFmtId="0" fontId="14" fillId="0" borderId="15" xfId="0" applyFont="1" applyBorder="1"/>
    <xf numFmtId="0" fontId="17" fillId="0" borderId="15" xfId="0" applyFont="1" applyBorder="1"/>
    <xf numFmtId="0" fontId="10" fillId="0" borderId="0" xfId="86" applyNumberFormat="1" applyFont="1" applyFill="1" applyAlignment="1" applyProtection="1">
      <alignment horizontal="left"/>
    </xf>
    <xf numFmtId="0" fontId="10" fillId="0" borderId="0" xfId="86" applyNumberFormat="1" applyFont="1" applyFill="1" applyBorder="1" applyAlignment="1" applyProtection="1">
      <alignment horizontal="left"/>
    </xf>
    <xf numFmtId="0" fontId="14" fillId="0" borderId="17" xfId="0" applyFont="1" applyBorder="1"/>
    <xf numFmtId="0" fontId="14" fillId="0" borderId="0" xfId="0" applyFont="1"/>
    <xf numFmtId="173" fontId="17" fillId="0" borderId="20" xfId="86" applyNumberFormat="1" applyFont="1" applyBorder="1" applyProtection="1"/>
    <xf numFmtId="0" fontId="12" fillId="0" borderId="0" xfId="0" applyFont="1"/>
    <xf numFmtId="173" fontId="27" fillId="0" borderId="0" xfId="0" applyNumberFormat="1" applyFont="1" applyAlignment="1">
      <alignment horizontal="left"/>
    </xf>
    <xf numFmtId="0" fontId="17" fillId="0" borderId="0" xfId="0" applyFont="1" applyAlignment="1">
      <alignment wrapText="1"/>
    </xf>
    <xf numFmtId="0" fontId="17" fillId="0" borderId="22" xfId="0" applyFont="1" applyBorder="1" applyAlignment="1">
      <alignment horizontal="center"/>
    </xf>
    <xf numFmtId="0" fontId="0" fillId="0" borderId="23" xfId="0" applyBorder="1"/>
    <xf numFmtId="0" fontId="0" fillId="0" borderId="24" xfId="0" applyBorder="1"/>
    <xf numFmtId="0" fontId="17" fillId="0" borderId="17" xfId="0" applyFont="1" applyBorder="1"/>
    <xf numFmtId="0" fontId="14" fillId="0" borderId="25" xfId="0" applyFont="1" applyBorder="1" applyAlignment="1">
      <alignment horizontal="center"/>
    </xf>
    <xf numFmtId="173" fontId="17" fillId="0" borderId="0" xfId="0" applyNumberFormat="1" applyFont="1" applyAlignment="1">
      <alignment horizontal="right"/>
    </xf>
    <xf numFmtId="10" fontId="17" fillId="0" borderId="18" xfId="0" applyNumberFormat="1" applyFont="1" applyBorder="1"/>
    <xf numFmtId="173" fontId="17" fillId="0" borderId="18" xfId="0" applyNumberFormat="1" applyFont="1" applyBorder="1" applyAlignment="1">
      <alignment horizontal="right"/>
    </xf>
    <xf numFmtId="0" fontId="17" fillId="0" borderId="19" xfId="0" applyFont="1" applyBorder="1"/>
    <xf numFmtId="0" fontId="17" fillId="0" borderId="6" xfId="0" applyFont="1" applyBorder="1" applyAlignment="1">
      <alignment horizontal="center"/>
    </xf>
    <xf numFmtId="0" fontId="0" fillId="0" borderId="6" xfId="0" applyBorder="1"/>
    <xf numFmtId="0" fontId="14" fillId="0" borderId="26" xfId="0" applyFont="1" applyBorder="1" applyAlignment="1">
      <alignment horizontal="center" wrapText="1"/>
    </xf>
    <xf numFmtId="173" fontId="14" fillId="0" borderId="0" xfId="86" applyNumberFormat="1" applyFont="1" applyBorder="1" applyAlignment="1" applyProtection="1">
      <alignment horizontal="center" wrapText="1"/>
    </xf>
    <xf numFmtId="173" fontId="14" fillId="0" borderId="26" xfId="86" applyNumberFormat="1" applyFont="1" applyBorder="1" applyAlignment="1" applyProtection="1">
      <alignment horizontal="center" wrapText="1"/>
    </xf>
    <xf numFmtId="173" fontId="14" fillId="0" borderId="25" xfId="86" applyNumberFormat="1" applyFont="1" applyBorder="1" applyAlignment="1" applyProtection="1">
      <alignment horizontal="center" wrapText="1"/>
    </xf>
    <xf numFmtId="0" fontId="14" fillId="0" borderId="27" xfId="0" applyFont="1" applyBorder="1" applyAlignment="1">
      <alignment horizontal="center" wrapText="1"/>
    </xf>
    <xf numFmtId="0" fontId="14" fillId="0" borderId="28" xfId="0" applyFont="1" applyBorder="1" applyAlignment="1">
      <alignment horizontal="center"/>
    </xf>
    <xf numFmtId="0" fontId="14" fillId="0" borderId="6" xfId="0" applyFont="1" applyBorder="1" applyAlignment="1">
      <alignment horizontal="center"/>
    </xf>
    <xf numFmtId="173" fontId="14" fillId="0" borderId="28" xfId="86" applyNumberFormat="1" applyFont="1" applyBorder="1" applyAlignment="1" applyProtection="1">
      <alignment horizontal="center"/>
    </xf>
    <xf numFmtId="173" fontId="14" fillId="0" borderId="20" xfId="86" applyNumberFormat="1" applyFont="1" applyBorder="1" applyAlignment="1" applyProtection="1">
      <alignment horizontal="center"/>
    </xf>
    <xf numFmtId="0" fontId="14" fillId="0" borderId="27" xfId="0" applyFont="1" applyBorder="1" applyAlignment="1">
      <alignment horizontal="center"/>
    </xf>
    <xf numFmtId="0" fontId="17" fillId="0" borderId="27" xfId="0" applyFont="1" applyBorder="1" applyAlignment="1">
      <alignment horizontal="center"/>
    </xf>
    <xf numFmtId="173" fontId="17" fillId="0" borderId="27" xfId="86" applyNumberFormat="1" applyFont="1" applyBorder="1" applyProtection="1"/>
    <xf numFmtId="173" fontId="17" fillId="0" borderId="27" xfId="86" applyNumberFormat="1" applyFont="1" applyFill="1" applyBorder="1" applyProtection="1"/>
    <xf numFmtId="173" fontId="17" fillId="0" borderId="18" xfId="86" applyNumberFormat="1" applyFont="1" applyFill="1" applyBorder="1" applyProtection="1"/>
    <xf numFmtId="174" fontId="17" fillId="0" borderId="27" xfId="0" applyNumberFormat="1" applyFont="1" applyBorder="1"/>
    <xf numFmtId="174" fontId="13" fillId="28" borderId="26" xfId="0" applyNumberFormat="1" applyFont="1" applyFill="1" applyBorder="1"/>
    <xf numFmtId="174" fontId="17" fillId="29" borderId="26" xfId="0" applyNumberFormat="1" applyFont="1" applyFill="1" applyBorder="1"/>
    <xf numFmtId="173" fontId="17" fillId="0" borderId="27" xfId="0" applyNumberFormat="1" applyFont="1" applyBorder="1"/>
    <xf numFmtId="173" fontId="17" fillId="0" borderId="18" xfId="86" applyNumberFormat="1" applyFont="1" applyBorder="1" applyProtection="1"/>
    <xf numFmtId="174" fontId="13" fillId="28" borderId="27" xfId="0" applyNumberFormat="1" applyFont="1" applyFill="1" applyBorder="1"/>
    <xf numFmtId="174" fontId="17" fillId="29" borderId="27" xfId="0" applyNumberFormat="1" applyFont="1" applyFill="1" applyBorder="1"/>
    <xf numFmtId="0" fontId="17" fillId="0" borderId="28" xfId="0" applyFont="1" applyBorder="1" applyAlignment="1">
      <alignment horizontal="center"/>
    </xf>
    <xf numFmtId="173" fontId="17" fillId="0" borderId="6" xfId="0" applyNumberFormat="1" applyFont="1" applyBorder="1"/>
    <xf numFmtId="173" fontId="17" fillId="0" borderId="28" xfId="0" applyNumberFormat="1" applyFont="1" applyBorder="1"/>
    <xf numFmtId="173" fontId="17" fillId="0" borderId="28" xfId="86" applyNumberFormat="1" applyFont="1" applyBorder="1" applyProtection="1"/>
    <xf numFmtId="174" fontId="17" fillId="0" borderId="28" xfId="0" applyNumberFormat="1" applyFont="1" applyBorder="1"/>
    <xf numFmtId="174" fontId="13" fillId="28" borderId="28" xfId="0" applyNumberFormat="1" applyFont="1" applyFill="1" applyBorder="1"/>
    <xf numFmtId="174" fontId="17" fillId="29" borderId="28" xfId="0" applyNumberFormat="1" applyFont="1" applyFill="1" applyBorder="1"/>
    <xf numFmtId="10" fontId="0" fillId="0" borderId="0" xfId="268" applyNumberFormat="1" applyFont="1" applyAlignment="1" applyProtection="1">
      <alignment horizontal="right"/>
    </xf>
    <xf numFmtId="172" fontId="17" fillId="0" borderId="21" xfId="259" applyFont="1" applyBorder="1" applyProtection="1"/>
    <xf numFmtId="172" fontId="17" fillId="0" borderId="15" xfId="259" applyFont="1" applyBorder="1" applyProtection="1"/>
    <xf numFmtId="3" fontId="17" fillId="0" borderId="25" xfId="259" applyNumberFormat="1" applyFont="1" applyBorder="1" applyProtection="1"/>
    <xf numFmtId="172" fontId="17" fillId="0" borderId="17" xfId="259" applyFont="1" applyBorder="1" applyProtection="1"/>
    <xf numFmtId="3" fontId="17" fillId="0" borderId="18" xfId="259" applyNumberFormat="1" applyFont="1" applyBorder="1" applyProtection="1"/>
    <xf numFmtId="0" fontId="17" fillId="0" borderId="0" xfId="259" quotePrefix="1" applyNumberFormat="1" applyFont="1" applyAlignment="1" applyProtection="1">
      <alignment horizontal="center"/>
    </xf>
    <xf numFmtId="0" fontId="17" fillId="0" borderId="18" xfId="0" applyFont="1" applyBorder="1"/>
    <xf numFmtId="10" fontId="37" fillId="0" borderId="0" xfId="0" applyNumberFormat="1" applyFont="1" applyAlignment="1">
      <alignment horizontal="center"/>
    </xf>
    <xf numFmtId="0" fontId="17" fillId="0" borderId="0" xfId="0" applyFont="1" applyAlignment="1">
      <alignment horizontal="right"/>
    </xf>
    <xf numFmtId="174" fontId="17" fillId="0" borderId="18" xfId="0" applyNumberFormat="1" applyFont="1" applyBorder="1"/>
    <xf numFmtId="174" fontId="17" fillId="0" borderId="20" xfId="0" applyNumberFormat="1" applyFont="1" applyBorder="1"/>
    <xf numFmtId="173" fontId="17" fillId="0" borderId="25" xfId="0" applyNumberFormat="1" applyFont="1" applyBorder="1"/>
    <xf numFmtId="166" fontId="17" fillId="0" borderId="19" xfId="259" applyNumberFormat="1" applyFont="1" applyBorder="1" applyAlignment="1" applyProtection="1">
      <alignment horizontal="center"/>
    </xf>
    <xf numFmtId="0" fontId="17" fillId="0" borderId="6" xfId="259" applyNumberFormat="1" applyFont="1" applyBorder="1" applyAlignment="1" applyProtection="1">
      <alignment horizontal="center"/>
    </xf>
    <xf numFmtId="173" fontId="17" fillId="0" borderId="6" xfId="259" quotePrefix="1" applyNumberFormat="1" applyFont="1" applyBorder="1" applyAlignment="1" applyProtection="1">
      <alignment horizontal="center"/>
    </xf>
    <xf numFmtId="10" fontId="17" fillId="0" borderId="0" xfId="268" applyNumberFormat="1" applyFont="1" applyFill="1" applyBorder="1" applyAlignment="1" applyProtection="1"/>
    <xf numFmtId="0" fontId="130" fillId="27" borderId="0" xfId="0" applyFont="1" applyFill="1"/>
    <xf numFmtId="0" fontId="14" fillId="0" borderId="21" xfId="0" applyFont="1" applyBorder="1" applyAlignment="1">
      <alignment horizontal="center"/>
    </xf>
    <xf numFmtId="173" fontId="17" fillId="0" borderId="17" xfId="86" applyNumberFormat="1" applyFont="1" applyBorder="1" applyProtection="1"/>
    <xf numFmtId="173" fontId="14" fillId="0" borderId="0" xfId="86" applyNumberFormat="1" applyFont="1" applyBorder="1" applyProtection="1"/>
    <xf numFmtId="173" fontId="17" fillId="0" borderId="18" xfId="0" applyNumberFormat="1" applyFont="1" applyBorder="1"/>
    <xf numFmtId="173" fontId="14" fillId="0" borderId="11" xfId="86" applyNumberFormat="1" applyFont="1" applyBorder="1" applyProtection="1"/>
    <xf numFmtId="173" fontId="17" fillId="0" borderId="29" xfId="0" applyNumberFormat="1" applyFont="1" applyBorder="1"/>
    <xf numFmtId="173" fontId="14" fillId="0" borderId="6" xfId="86" applyNumberFormat="1" applyFont="1" applyFill="1" applyBorder="1" applyAlignment="1" applyProtection="1">
      <alignment horizontal="left"/>
    </xf>
    <xf numFmtId="173" fontId="14" fillId="0" borderId="20" xfId="86" applyNumberFormat="1" applyFont="1" applyFill="1" applyBorder="1" applyAlignment="1" applyProtection="1">
      <alignment horizontal="left"/>
    </xf>
    <xf numFmtId="173" fontId="17" fillId="0" borderId="26" xfId="0" applyNumberFormat="1" applyFont="1" applyBorder="1"/>
    <xf numFmtId="174" fontId="17" fillId="0" borderId="26" xfId="0" applyNumberFormat="1" applyFont="1" applyBorder="1"/>
    <xf numFmtId="0" fontId="14" fillId="0" borderId="0" xfId="259" applyNumberFormat="1" applyFont="1" applyAlignment="1" applyProtection="1">
      <alignment vertical="center"/>
    </xf>
    <xf numFmtId="0" fontId="110" fillId="0" borderId="0" xfId="0" applyFont="1"/>
    <xf numFmtId="0" fontId="14" fillId="0" borderId="0" xfId="259" applyNumberFormat="1" applyFont="1" applyAlignment="1" applyProtection="1">
      <alignment vertical="top"/>
    </xf>
    <xf numFmtId="0" fontId="27" fillId="0" borderId="0" xfId="0" applyFont="1"/>
    <xf numFmtId="0" fontId="114" fillId="0" borderId="0" xfId="261" applyFont="1"/>
    <xf numFmtId="0" fontId="8" fillId="0" borderId="0" xfId="261"/>
    <xf numFmtId="44" fontId="114" fillId="0" borderId="0" xfId="117" applyFont="1" applyAlignment="1" applyProtection="1"/>
    <xf numFmtId="0" fontId="115" fillId="0" borderId="0" xfId="261" applyFont="1"/>
    <xf numFmtId="0" fontId="116" fillId="0" borderId="0" xfId="261" applyFont="1" applyAlignment="1">
      <alignment horizontal="center"/>
    </xf>
    <xf numFmtId="0" fontId="117" fillId="0" borderId="0" xfId="261" applyFont="1"/>
    <xf numFmtId="176" fontId="116" fillId="0" borderId="0" xfId="261" applyNumberFormat="1" applyFont="1" applyAlignment="1">
      <alignment horizontal="center"/>
    </xf>
    <xf numFmtId="0" fontId="116" fillId="0" borderId="0" xfId="261" applyFont="1"/>
    <xf numFmtId="176" fontId="116" fillId="0" borderId="0" xfId="261" quotePrefix="1" applyNumberFormat="1" applyFont="1" applyAlignment="1">
      <alignment horizontal="center"/>
    </xf>
    <xf numFmtId="193" fontId="116" fillId="0" borderId="0" xfId="261" quotePrefix="1" applyNumberFormat="1" applyFont="1" applyAlignment="1">
      <alignment horizontal="center"/>
    </xf>
    <xf numFmtId="0" fontId="118" fillId="0" borderId="0" xfId="261" applyFont="1"/>
    <xf numFmtId="0" fontId="119" fillId="0" borderId="16" xfId="261" applyFont="1" applyBorder="1"/>
    <xf numFmtId="0" fontId="115" fillId="0" borderId="16" xfId="261" applyFont="1" applyBorder="1"/>
    <xf numFmtId="0" fontId="47" fillId="0" borderId="0" xfId="261" applyFont="1"/>
    <xf numFmtId="0" fontId="10" fillId="0" borderId="0" xfId="258" applyFont="1"/>
    <xf numFmtId="0" fontId="7" fillId="0" borderId="0" xfId="258"/>
    <xf numFmtId="0" fontId="7" fillId="0" borderId="0" xfId="258" applyAlignment="1">
      <alignment horizontal="center"/>
    </xf>
    <xf numFmtId="0" fontId="127" fillId="0" borderId="0" xfId="0" applyFont="1" applyAlignment="1">
      <alignment horizontal="left"/>
    </xf>
    <xf numFmtId="0" fontId="127" fillId="0" borderId="0" xfId="0" applyFont="1"/>
    <xf numFmtId="0" fontId="127" fillId="0" borderId="26" xfId="0" applyFont="1" applyBorder="1" applyAlignment="1">
      <alignment horizontal="center" wrapText="1"/>
    </xf>
    <xf numFmtId="0" fontId="127" fillId="0" borderId="27" xfId="0" applyFont="1" applyBorder="1" applyAlignment="1">
      <alignment horizontal="center" wrapText="1"/>
    </xf>
    <xf numFmtId="0" fontId="127" fillId="0" borderId="27" xfId="0" applyFont="1" applyBorder="1"/>
    <xf numFmtId="170" fontId="128" fillId="0" borderId="0" xfId="0" applyNumberFormat="1" applyFont="1" applyAlignment="1">
      <alignment horizontal="right"/>
    </xf>
    <xf numFmtId="170" fontId="127" fillId="0" borderId="0" xfId="0" applyNumberFormat="1" applyFont="1" applyAlignment="1">
      <alignment horizontal="center"/>
    </xf>
    <xf numFmtId="170" fontId="127" fillId="0" borderId="0" xfId="0" applyNumberFormat="1" applyFont="1"/>
    <xf numFmtId="170" fontId="128" fillId="0" borderId="0" xfId="0" applyNumberFormat="1" applyFont="1" applyAlignment="1">
      <alignment horizontal="center"/>
    </xf>
    <xf numFmtId="170" fontId="10" fillId="0" borderId="0" xfId="0" applyNumberFormat="1" applyFont="1"/>
    <xf numFmtId="5" fontId="127" fillId="0" borderId="28" xfId="0" applyNumberFormat="1" applyFont="1" applyBorder="1" applyAlignment="1">
      <alignment horizontal="center"/>
    </xf>
    <xf numFmtId="173" fontId="127" fillId="0" borderId="0" xfId="0" applyNumberFormat="1" applyFont="1"/>
    <xf numFmtId="0" fontId="127" fillId="0" borderId="0" xfId="0" applyFont="1" applyAlignment="1">
      <alignment horizontal="center"/>
    </xf>
    <xf numFmtId="173" fontId="127" fillId="0" borderId="6" xfId="0" applyNumberFormat="1" applyFont="1" applyBorder="1"/>
    <xf numFmtId="0" fontId="127" fillId="0" borderId="6" xfId="0" applyFont="1" applyBorder="1" applyAlignment="1">
      <alignment horizontal="center"/>
    </xf>
    <xf numFmtId="0" fontId="10" fillId="0" borderId="6" xfId="0" applyFont="1" applyBorder="1"/>
    <xf numFmtId="173" fontId="127" fillId="0" borderId="0" xfId="0" applyNumberFormat="1" applyFont="1" applyAlignment="1">
      <alignment horizontal="left"/>
    </xf>
    <xf numFmtId="0" fontId="128" fillId="0" borderId="0" xfId="0" applyFont="1" applyAlignment="1">
      <alignment horizontal="left"/>
    </xf>
    <xf numFmtId="0" fontId="128" fillId="0" borderId="0" xfId="0" applyFont="1" applyAlignment="1">
      <alignment horizontal="center" wrapText="1"/>
    </xf>
    <xf numFmtId="0" fontId="128" fillId="0" borderId="0" xfId="0" applyFont="1" applyAlignment="1">
      <alignment horizontal="center"/>
    </xf>
    <xf numFmtId="173" fontId="128" fillId="0" borderId="0" xfId="0" applyNumberFormat="1" applyFont="1" applyAlignment="1">
      <alignment horizontal="center" wrapText="1"/>
    </xf>
    <xf numFmtId="173" fontId="128" fillId="0" borderId="0" xfId="0" applyNumberFormat="1" applyFont="1" applyAlignment="1">
      <alignment horizontal="center"/>
    </xf>
    <xf numFmtId="176" fontId="127" fillId="0" borderId="0" xfId="269" applyNumberFormat="1" applyFont="1" applyFill="1" applyProtection="1"/>
    <xf numFmtId="173" fontId="127" fillId="0" borderId="0" xfId="0" applyNumberFormat="1" applyFont="1" applyAlignment="1">
      <alignment horizontal="center"/>
    </xf>
    <xf numFmtId="0" fontId="129" fillId="0" borderId="0" xfId="0" applyFont="1" applyAlignment="1">
      <alignment horizontal="center"/>
    </xf>
    <xf numFmtId="173" fontId="127" fillId="0" borderId="0" xfId="88" applyNumberFormat="1" applyFont="1" applyFill="1" applyProtection="1"/>
    <xf numFmtId="176" fontId="127" fillId="0" borderId="0" xfId="0" applyNumberFormat="1" applyFont="1"/>
    <xf numFmtId="173" fontId="127" fillId="0" borderId="11" xfId="88" applyNumberFormat="1" applyFont="1" applyFill="1" applyBorder="1" applyProtection="1"/>
    <xf numFmtId="173" fontId="128" fillId="0" borderId="0" xfId="88" applyNumberFormat="1" applyFont="1" applyFill="1" applyProtection="1"/>
    <xf numFmtId="173" fontId="128" fillId="0" borderId="0" xfId="88" applyNumberFormat="1" applyFont="1" applyFill="1" applyAlignment="1" applyProtection="1">
      <alignment horizontal="center"/>
    </xf>
    <xf numFmtId="0" fontId="129" fillId="0" borderId="0" xfId="0" applyFont="1"/>
    <xf numFmtId="173" fontId="128" fillId="0" borderId="0" xfId="0" applyNumberFormat="1" applyFont="1"/>
    <xf numFmtId="195" fontId="10" fillId="0" borderId="0" xfId="0" applyNumberFormat="1" applyFont="1"/>
    <xf numFmtId="173" fontId="10" fillId="0" borderId="0" xfId="88" applyNumberFormat="1" applyFont="1" applyFill="1" applyProtection="1"/>
    <xf numFmtId="173" fontId="10" fillId="0" borderId="0" xfId="118" applyNumberFormat="1" applyFont="1" applyFill="1" applyProtection="1"/>
    <xf numFmtId="0" fontId="0" fillId="0" borderId="0" xfId="0" applyAlignment="1">
      <alignment horizontal="left"/>
    </xf>
    <xf numFmtId="0" fontId="24" fillId="32" borderId="0" xfId="86" applyNumberFormat="1" applyFont="1" applyFill="1" applyAlignment="1" applyProtection="1">
      <protection locked="0"/>
    </xf>
    <xf numFmtId="173" fontId="24" fillId="32" borderId="0" xfId="86" applyNumberFormat="1" applyFont="1" applyFill="1" applyAlignment="1" applyProtection="1">
      <alignment horizontal="right"/>
      <protection locked="0"/>
    </xf>
    <xf numFmtId="41" fontId="24" fillId="32" borderId="0" xfId="259" applyNumberFormat="1" applyFont="1" applyFill="1" applyProtection="1">
      <protection locked="0"/>
    </xf>
    <xf numFmtId="41" fontId="24" fillId="32" borderId="6" xfId="259" applyNumberFormat="1" applyFont="1" applyFill="1" applyBorder="1" applyProtection="1">
      <protection locked="0"/>
    </xf>
    <xf numFmtId="3" fontId="24" fillId="32" borderId="0" xfId="259" applyNumberFormat="1" applyFont="1" applyFill="1" applyProtection="1">
      <protection locked="0"/>
    </xf>
    <xf numFmtId="3" fontId="24" fillId="32" borderId="6" xfId="259" applyNumberFormat="1" applyFont="1" applyFill="1" applyBorder="1" applyProtection="1">
      <protection locked="0"/>
    </xf>
    <xf numFmtId="10" fontId="24" fillId="32" borderId="0" xfId="268" applyNumberFormat="1" applyFont="1" applyFill="1" applyAlignment="1" applyProtection="1">
      <protection locked="0"/>
    </xf>
    <xf numFmtId="173" fontId="13" fillId="32" borderId="0" xfId="89" applyNumberFormat="1" applyFont="1" applyFill="1" applyBorder="1" applyAlignment="1" applyProtection="1">
      <alignment horizontal="right"/>
      <protection locked="0"/>
    </xf>
    <xf numFmtId="0" fontId="37" fillId="32" borderId="0" xfId="211" applyFont="1" applyFill="1" applyProtection="1">
      <protection locked="0"/>
    </xf>
    <xf numFmtId="173" fontId="13" fillId="32" borderId="11" xfId="89" applyNumberFormat="1" applyFont="1" applyFill="1" applyBorder="1" applyAlignment="1" applyProtection="1">
      <alignment horizontal="right"/>
      <protection locked="0"/>
    </xf>
    <xf numFmtId="41" fontId="13" fillId="32" borderId="0" xfId="249" applyNumberFormat="1" applyFont="1" applyFill="1" applyProtection="1">
      <protection locked="0"/>
    </xf>
    <xf numFmtId="41" fontId="13" fillId="32" borderId="11" xfId="249" applyNumberFormat="1" applyFont="1" applyFill="1" applyBorder="1" applyProtection="1">
      <protection locked="0"/>
    </xf>
    <xf numFmtId="37" fontId="13" fillId="32" borderId="0" xfId="0" applyNumberFormat="1" applyFont="1" applyFill="1" applyProtection="1">
      <protection locked="0"/>
    </xf>
    <xf numFmtId="3" fontId="68" fillId="32" borderId="0" xfId="0" applyNumberFormat="1" applyFont="1" applyFill="1" applyProtection="1">
      <protection locked="0"/>
    </xf>
    <xf numFmtId="3" fontId="131" fillId="32" borderId="0" xfId="0" applyNumberFormat="1" applyFont="1" applyFill="1" applyProtection="1">
      <protection locked="0"/>
    </xf>
    <xf numFmtId="37" fontId="131" fillId="32" borderId="0" xfId="0" applyNumberFormat="1" applyFont="1" applyFill="1" applyProtection="1">
      <protection locked="0"/>
    </xf>
    <xf numFmtId="1" fontId="68" fillId="32" borderId="0" xfId="0" applyNumberFormat="1" applyFont="1" applyFill="1" applyAlignment="1" applyProtection="1">
      <alignment horizontal="left"/>
      <protection locked="0"/>
    </xf>
    <xf numFmtId="38" fontId="68" fillId="0" borderId="15" xfId="0" applyNumberFormat="1" applyFont="1" applyBorder="1"/>
    <xf numFmtId="173" fontId="13" fillId="0" borderId="0" xfId="86" applyNumberFormat="1" applyFont="1" applyFill="1" applyProtection="1"/>
    <xf numFmtId="173" fontId="0" fillId="0" borderId="11" xfId="0" applyNumberFormat="1" applyBorder="1"/>
    <xf numFmtId="173" fontId="13" fillId="32" borderId="0" xfId="115" applyNumberFormat="1" applyFont="1" applyFill="1" applyProtection="1">
      <protection locked="0"/>
    </xf>
    <xf numFmtId="0" fontId="24" fillId="32" borderId="0" xfId="249" applyFont="1" applyFill="1" applyAlignment="1" applyProtection="1">
      <alignment horizontal="center"/>
      <protection locked="0"/>
    </xf>
    <xf numFmtId="3" fontId="24" fillId="32" borderId="0" xfId="0" applyNumberFormat="1" applyFont="1" applyFill="1" applyProtection="1">
      <protection locked="0"/>
    </xf>
    <xf numFmtId="41" fontId="24" fillId="32" borderId="0" xfId="249" applyNumberFormat="1" applyFont="1" applyFill="1" applyProtection="1">
      <protection locked="0"/>
    </xf>
    <xf numFmtId="38" fontId="13" fillId="32" borderId="0" xfId="0" applyNumberFormat="1" applyFont="1" applyFill="1" applyProtection="1">
      <protection locked="0"/>
    </xf>
    <xf numFmtId="173" fontId="82" fillId="32" borderId="0" xfId="260" applyNumberFormat="1" applyFont="1" applyFill="1" applyProtection="1">
      <protection locked="0"/>
    </xf>
    <xf numFmtId="0" fontId="76" fillId="32" borderId="0" xfId="260" applyFont="1" applyFill="1" applyAlignment="1" applyProtection="1">
      <alignment horizontal="center"/>
      <protection locked="0"/>
    </xf>
    <xf numFmtId="0" fontId="13" fillId="32" borderId="0" xfId="86" applyNumberFormat="1" applyFont="1" applyFill="1" applyAlignment="1" applyProtection="1">
      <protection locked="0"/>
    </xf>
    <xf numFmtId="173" fontId="7" fillId="32" borderId="6" xfId="259" applyNumberFormat="1" applyFont="1" applyFill="1" applyBorder="1" applyAlignment="1" applyProtection="1">
      <alignment horizontal="center"/>
      <protection locked="0"/>
    </xf>
    <xf numFmtId="0" fontId="24" fillId="32" borderId="0" xfId="86" applyNumberFormat="1" applyFont="1" applyFill="1" applyAlignment="1" applyProtection="1">
      <alignment horizontal="left"/>
      <protection locked="0"/>
    </xf>
    <xf numFmtId="173" fontId="161" fillId="32" borderId="18" xfId="86" applyNumberFormat="1" applyFont="1" applyFill="1" applyBorder="1" applyAlignment="1" applyProtection="1">
      <alignment horizontal="right"/>
      <protection locked="0"/>
    </xf>
    <xf numFmtId="173" fontId="13" fillId="32" borderId="18" xfId="86" applyNumberFormat="1" applyFont="1" applyFill="1" applyBorder="1" applyAlignment="1" applyProtection="1">
      <alignment horizontal="right"/>
      <protection locked="0"/>
    </xf>
    <xf numFmtId="0" fontId="13" fillId="32" borderId="20" xfId="0" applyFont="1" applyFill="1" applyBorder="1" applyAlignment="1" applyProtection="1">
      <alignment horizontal="right"/>
      <protection locked="0"/>
    </xf>
    <xf numFmtId="173" fontId="13" fillId="32" borderId="18" xfId="0" applyNumberFormat="1" applyFont="1" applyFill="1" applyBorder="1" applyAlignment="1" applyProtection="1">
      <alignment horizontal="right"/>
      <protection locked="0"/>
    </xf>
    <xf numFmtId="174" fontId="13" fillId="32" borderId="26" xfId="0" applyNumberFormat="1" applyFont="1" applyFill="1" applyBorder="1" applyProtection="1">
      <protection locked="0"/>
    </xf>
    <xf numFmtId="174" fontId="13" fillId="32" borderId="27" xfId="0" applyNumberFormat="1" applyFont="1" applyFill="1" applyBorder="1" applyProtection="1">
      <protection locked="0"/>
    </xf>
    <xf numFmtId="174" fontId="13" fillId="32" borderId="28" xfId="0" applyNumberFormat="1" applyFont="1" applyFill="1" applyBorder="1" applyProtection="1">
      <protection locked="0"/>
    </xf>
    <xf numFmtId="174" fontId="17" fillId="32" borderId="0" xfId="0" applyNumberFormat="1" applyFont="1" applyFill="1" applyProtection="1">
      <protection locked="0"/>
    </xf>
    <xf numFmtId="174" fontId="17" fillId="32" borderId="6" xfId="0" applyNumberFormat="1" applyFont="1" applyFill="1" applyBorder="1" applyProtection="1">
      <protection locked="0"/>
    </xf>
    <xf numFmtId="0" fontId="74" fillId="32" borderId="0" xfId="0" applyFont="1" applyFill="1" applyAlignment="1" applyProtection="1">
      <alignment horizontal="left"/>
      <protection locked="0"/>
    </xf>
    <xf numFmtId="0" fontId="13" fillId="32" borderId="18" xfId="0" applyFont="1" applyFill="1" applyBorder="1" applyAlignment="1" applyProtection="1">
      <alignment horizontal="right"/>
      <protection locked="0"/>
    </xf>
    <xf numFmtId="0" fontId="22" fillId="0" borderId="0" xfId="249" applyFont="1" applyAlignment="1">
      <alignment wrapText="1"/>
    </xf>
    <xf numFmtId="173" fontId="13" fillId="32" borderId="0" xfId="88" applyNumberFormat="1" applyFont="1" applyFill="1" applyBorder="1" applyProtection="1">
      <protection locked="0"/>
    </xf>
    <xf numFmtId="173" fontId="25" fillId="32" borderId="0" xfId="86" applyNumberFormat="1" applyFont="1" applyFill="1" applyProtection="1">
      <protection locked="0"/>
    </xf>
    <xf numFmtId="189" fontId="25" fillId="32" borderId="0" xfId="0" applyNumberFormat="1" applyFont="1" applyFill="1" applyProtection="1">
      <protection locked="0"/>
    </xf>
    <xf numFmtId="0" fontId="0" fillId="32" borderId="0" xfId="0" applyFill="1" applyAlignment="1" applyProtection="1">
      <alignment horizontal="center"/>
      <protection locked="0"/>
    </xf>
    <xf numFmtId="0" fontId="25" fillId="32" borderId="0" xfId="0" applyFont="1" applyFill="1" applyProtection="1">
      <protection locked="0"/>
    </xf>
    <xf numFmtId="170" fontId="127" fillId="32" borderId="28" xfId="0" applyNumberFormat="1" applyFont="1" applyFill="1" applyBorder="1" applyAlignment="1" applyProtection="1">
      <alignment horizontal="center"/>
      <protection locked="0"/>
    </xf>
    <xf numFmtId="176" fontId="127" fillId="32" borderId="0" xfId="269" applyNumberFormat="1" applyFont="1" applyFill="1" applyProtection="1">
      <protection locked="0"/>
    </xf>
    <xf numFmtId="197" fontId="162" fillId="31" borderId="0" xfId="0" applyNumberFormat="1" applyFont="1" applyFill="1" applyAlignment="1">
      <alignment horizontal="right"/>
    </xf>
    <xf numFmtId="41" fontId="13" fillId="32" borderId="0" xfId="250" applyNumberFormat="1" applyFont="1" applyFill="1"/>
    <xf numFmtId="41" fontId="13" fillId="32" borderId="11" xfId="250" applyNumberFormat="1" applyFont="1" applyFill="1" applyBorder="1"/>
    <xf numFmtId="173" fontId="13" fillId="0" borderId="0" xfId="115" applyNumberFormat="1" applyFont="1" applyFill="1" applyProtection="1">
      <protection locked="0"/>
    </xf>
    <xf numFmtId="0" fontId="135" fillId="0" borderId="0" xfId="0" applyFont="1" applyAlignment="1">
      <alignment vertical="center"/>
    </xf>
    <xf numFmtId="0" fontId="85" fillId="0" borderId="0" xfId="211" applyFont="1" applyAlignment="1">
      <alignment horizontal="center"/>
    </xf>
    <xf numFmtId="173" fontId="82" fillId="0" borderId="0" xfId="260" applyNumberFormat="1" applyFont="1" applyProtection="1">
      <protection locked="0"/>
    </xf>
    <xf numFmtId="0" fontId="76" fillId="0" borderId="0" xfId="260" applyFont="1" applyAlignment="1" applyProtection="1">
      <alignment horizontal="center"/>
      <protection locked="0"/>
    </xf>
    <xf numFmtId="0" fontId="136" fillId="0" borderId="0" xfId="0" applyFont="1" applyAlignment="1">
      <alignment horizontal="center"/>
    </xf>
    <xf numFmtId="172" fontId="17" fillId="0" borderId="0" xfId="255" applyFont="1"/>
    <xf numFmtId="0" fontId="17" fillId="0" borderId="0" xfId="262"/>
    <xf numFmtId="173" fontId="17" fillId="0" borderId="14" xfId="88" applyNumberFormat="1" applyFont="1" applyBorder="1"/>
    <xf numFmtId="173" fontId="17" fillId="0" borderId="32" xfId="88" applyNumberFormat="1" applyFont="1" applyBorder="1"/>
    <xf numFmtId="0" fontId="17" fillId="0" borderId="14" xfId="0" applyFont="1" applyBorder="1" applyAlignment="1">
      <alignment horizontal="center"/>
    </xf>
    <xf numFmtId="0" fontId="17" fillId="0" borderId="35" xfId="0" applyFont="1" applyBorder="1" applyAlignment="1">
      <alignment horizontal="center"/>
    </xf>
    <xf numFmtId="0" fontId="17" fillId="0" borderId="34" xfId="0" applyFont="1" applyBorder="1" applyAlignment="1">
      <alignment horizontal="center"/>
    </xf>
    <xf numFmtId="0" fontId="136" fillId="0" borderId="0" xfId="0" applyFont="1"/>
    <xf numFmtId="0" fontId="14" fillId="0" borderId="0" xfId="262" applyFont="1" applyAlignment="1">
      <alignment horizontal="center"/>
    </xf>
    <xf numFmtId="0" fontId="14" fillId="0" borderId="33" xfId="262" applyFont="1" applyBorder="1" applyAlignment="1">
      <alignment horizontal="center"/>
    </xf>
    <xf numFmtId="0" fontId="14" fillId="0" borderId="34" xfId="262" applyFont="1" applyBorder="1" applyAlignment="1">
      <alignment horizontal="center"/>
    </xf>
    <xf numFmtId="0" fontId="14" fillId="0" borderId="33" xfId="262" applyFont="1" applyBorder="1" applyAlignment="1">
      <alignment horizontal="center" wrapText="1"/>
    </xf>
    <xf numFmtId="0" fontId="14" fillId="0" borderId="0" xfId="262" applyFont="1" applyAlignment="1">
      <alignment horizontal="center" wrapText="1"/>
    </xf>
    <xf numFmtId="0" fontId="14" fillId="0" borderId="34" xfId="262" applyFont="1" applyBorder="1" applyAlignment="1">
      <alignment horizontal="center" wrapText="1"/>
    </xf>
    <xf numFmtId="0" fontId="17" fillId="0" borderId="34" xfId="0" applyFont="1" applyBorder="1" applyAlignment="1">
      <alignment horizontal="center" wrapText="1"/>
    </xf>
    <xf numFmtId="0" fontId="14" fillId="0" borderId="2" xfId="262" applyFont="1" applyBorder="1" applyAlignment="1">
      <alignment horizontal="centerContinuous" wrapText="1"/>
    </xf>
    <xf numFmtId="0" fontId="17" fillId="0" borderId="36" xfId="0" applyFont="1" applyBorder="1" applyAlignment="1">
      <alignment horizontal="center"/>
    </xf>
    <xf numFmtId="37" fontId="17" fillId="0" borderId="0" xfId="262" applyNumberFormat="1"/>
    <xf numFmtId="0" fontId="17" fillId="0" borderId="39" xfId="262" applyBorder="1" applyAlignment="1">
      <alignment horizontal="right"/>
    </xf>
    <xf numFmtId="0" fontId="17" fillId="0" borderId="40" xfId="0" applyFont="1" applyBorder="1" applyAlignment="1">
      <alignment horizontal="center"/>
    </xf>
    <xf numFmtId="0" fontId="17" fillId="0" borderId="37" xfId="262" applyBorder="1"/>
    <xf numFmtId="0" fontId="17" fillId="0" borderId="33" xfId="262" applyBorder="1"/>
    <xf numFmtId="0" fontId="17" fillId="0" borderId="33" xfId="262" quotePrefix="1" applyBorder="1" applyAlignment="1">
      <alignment horizontal="left"/>
    </xf>
    <xf numFmtId="3" fontId="29" fillId="0" borderId="11" xfId="211" applyNumberFormat="1" applyFont="1" applyBorder="1" applyAlignment="1">
      <alignment horizontal="center" wrapText="1"/>
    </xf>
    <xf numFmtId="0" fontId="14" fillId="0" borderId="38" xfId="262" applyFont="1" applyBorder="1" applyAlignment="1">
      <alignment horizontal="center" wrapText="1"/>
    </xf>
    <xf numFmtId="0" fontId="17" fillId="0" borderId="36" xfId="0" applyFont="1" applyBorder="1" applyAlignment="1">
      <alignment horizontal="center" wrapText="1"/>
    </xf>
    <xf numFmtId="0" fontId="14" fillId="0" borderId="0" xfId="262" applyFont="1" applyAlignment="1">
      <alignment horizontal="centerContinuous"/>
    </xf>
    <xf numFmtId="0" fontId="17" fillId="0" borderId="0" xfId="189"/>
    <xf numFmtId="0" fontId="17" fillId="0" borderId="0" xfId="262" applyAlignment="1">
      <alignment horizontal="left"/>
    </xf>
    <xf numFmtId="0" fontId="22" fillId="0" borderId="0" xfId="211" applyFont="1" applyAlignment="1">
      <alignment horizontal="center" vertical="center"/>
    </xf>
    <xf numFmtId="0" fontId="22" fillId="0" borderId="0" xfId="249" applyFont="1" applyAlignment="1">
      <alignment horizontal="center" vertical="center" wrapText="1"/>
    </xf>
    <xf numFmtId="0" fontId="22" fillId="0" borderId="0" xfId="211" quotePrefix="1" applyFont="1" applyAlignment="1">
      <alignment horizontal="center" vertical="center" wrapText="1"/>
    </xf>
    <xf numFmtId="0" fontId="22" fillId="0" borderId="0" xfId="211" applyFont="1" applyAlignment="1">
      <alignment horizontal="left" vertical="center"/>
    </xf>
    <xf numFmtId="173" fontId="0" fillId="0" borderId="11" xfId="86" applyNumberFormat="1" applyFont="1" applyFill="1" applyBorder="1"/>
    <xf numFmtId="173" fontId="68" fillId="0" borderId="0" xfId="86" applyNumberFormat="1" applyFont="1" applyFill="1" applyAlignment="1" applyProtection="1">
      <alignment horizontal="left"/>
      <protection locked="0"/>
    </xf>
    <xf numFmtId="173" fontId="68" fillId="0" borderId="11" xfId="86" applyNumberFormat="1" applyFont="1" applyFill="1" applyBorder="1" applyAlignment="1" applyProtection="1">
      <alignment horizontal="left"/>
      <protection locked="0"/>
    </xf>
    <xf numFmtId="0" fontId="20" fillId="0" borderId="0" xfId="0" applyFont="1"/>
    <xf numFmtId="0" fontId="20" fillId="0" borderId="0" xfId="0" applyFont="1" applyAlignment="1">
      <alignment horizontal="center"/>
    </xf>
    <xf numFmtId="0" fontId="20" fillId="0" borderId="0" xfId="0" applyFont="1" applyAlignment="1">
      <alignment horizontal="right"/>
    </xf>
    <xf numFmtId="0" fontId="100" fillId="0" borderId="0" xfId="262" applyFont="1" applyAlignment="1">
      <alignment horizontal="centerContinuous"/>
    </xf>
    <xf numFmtId="0" fontId="20" fillId="0" borderId="0" xfId="262" applyFont="1" applyAlignment="1">
      <alignment horizontal="left"/>
    </xf>
    <xf numFmtId="0" fontId="100" fillId="0" borderId="0" xfId="262" applyFont="1" applyAlignment="1">
      <alignment horizontal="center"/>
    </xf>
    <xf numFmtId="0" fontId="14" fillId="0" borderId="41" xfId="262" applyFont="1" applyBorder="1" applyAlignment="1">
      <alignment horizontal="center" wrapText="1"/>
    </xf>
    <xf numFmtId="0" fontId="20" fillId="0" borderId="0" xfId="0" applyFont="1" applyAlignment="1">
      <alignment wrapText="1"/>
    </xf>
    <xf numFmtId="0" fontId="14" fillId="0" borderId="10" xfId="262" applyFont="1" applyBorder="1" applyAlignment="1">
      <alignment horizontal="center"/>
    </xf>
    <xf numFmtId="0" fontId="137" fillId="0" borderId="0" xfId="0" applyFont="1"/>
    <xf numFmtId="3" fontId="29" fillId="0" borderId="35" xfId="211" applyNumberFormat="1" applyFont="1" applyBorder="1" applyAlignment="1">
      <alignment horizontal="center" wrapText="1"/>
    </xf>
    <xf numFmtId="3" fontId="29" fillId="0" borderId="42" xfId="211" applyNumberFormat="1" applyFont="1" applyBorder="1" applyAlignment="1">
      <alignment wrapText="1"/>
    </xf>
    <xf numFmtId="173" fontId="13" fillId="30" borderId="0" xfId="109" applyNumberFormat="1" applyFont="1" applyFill="1" applyAlignment="1" applyProtection="1">
      <protection locked="0"/>
    </xf>
    <xf numFmtId="41" fontId="17" fillId="0" borderId="10" xfId="262" applyNumberFormat="1" applyBorder="1"/>
    <xf numFmtId="173" fontId="17" fillId="0" borderId="43" xfId="88" applyNumberFormat="1" applyFont="1" applyBorder="1"/>
    <xf numFmtId="3" fontId="29" fillId="0" borderId="42" xfId="211" applyNumberFormat="1" applyFont="1" applyBorder="1" applyAlignment="1">
      <alignment horizontal="center" wrapText="1"/>
    </xf>
    <xf numFmtId="0" fontId="20" fillId="0" borderId="0" xfId="262" applyFont="1"/>
    <xf numFmtId="37" fontId="20" fillId="0" borderId="0" xfId="262" applyNumberFormat="1" applyFont="1"/>
    <xf numFmtId="172" fontId="20" fillId="0" borderId="0" xfId="255" applyFont="1"/>
    <xf numFmtId="0" fontId="17" fillId="0" borderId="0" xfId="251" applyAlignment="1">
      <alignment vertical="top"/>
    </xf>
    <xf numFmtId="0" fontId="137" fillId="0" borderId="0" xfId="0" applyFont="1" applyAlignment="1">
      <alignment horizontal="center"/>
    </xf>
    <xf numFmtId="0" fontId="99" fillId="0" borderId="0" xfId="252" applyFont="1"/>
    <xf numFmtId="0" fontId="100" fillId="0" borderId="0" xfId="0" applyFont="1" applyAlignment="1">
      <alignment horizontal="center"/>
    </xf>
    <xf numFmtId="0" fontId="100" fillId="0" borderId="0" xfId="0" quotePrefix="1" applyFont="1" applyAlignment="1">
      <alignment horizontal="center"/>
    </xf>
    <xf numFmtId="0" fontId="14" fillId="0" borderId="0" xfId="252" applyFont="1" applyAlignment="1">
      <alignment horizontal="left"/>
    </xf>
    <xf numFmtId="173" fontId="17" fillId="0" borderId="0" xfId="88" applyNumberFormat="1" applyFont="1" applyFill="1" applyProtection="1"/>
    <xf numFmtId="0" fontId="17" fillId="0" borderId="0" xfId="252"/>
    <xf numFmtId="0" fontId="17" fillId="0" borderId="0" xfId="183"/>
    <xf numFmtId="0" fontId="17" fillId="0" borderId="0" xfId="252" applyAlignment="1">
      <alignment horizontal="left"/>
    </xf>
    <xf numFmtId="173" fontId="13" fillId="32" borderId="0" xfId="88" applyNumberFormat="1" applyFont="1" applyFill="1" applyProtection="1">
      <protection locked="0"/>
    </xf>
    <xf numFmtId="0" fontId="17" fillId="0" borderId="0" xfId="251" applyAlignment="1">
      <alignment horizontal="left"/>
    </xf>
    <xf numFmtId="173" fontId="13" fillId="0" borderId="0" xfId="88" applyNumberFormat="1" applyFont="1" applyFill="1" applyProtection="1">
      <protection locked="0"/>
    </xf>
    <xf numFmtId="10" fontId="17" fillId="0" borderId="0" xfId="269" applyNumberFormat="1" applyFont="1" applyFill="1" applyBorder="1" applyProtection="1"/>
    <xf numFmtId="173" fontId="13" fillId="30" borderId="6" xfId="88" applyNumberFormat="1" applyFont="1" applyFill="1" applyBorder="1" applyAlignment="1" applyProtection="1">
      <protection locked="0"/>
    </xf>
    <xf numFmtId="10" fontId="14" fillId="0" borderId="0" xfId="269" applyNumberFormat="1" applyFont="1" applyFill="1" applyBorder="1" applyProtection="1"/>
    <xf numFmtId="0" fontId="14" fillId="0" borderId="0" xfId="252" applyFont="1"/>
    <xf numFmtId="173" fontId="17" fillId="0" borderId="0" xfId="269" applyNumberFormat="1" applyFont="1" applyFill="1" applyBorder="1" applyProtection="1"/>
    <xf numFmtId="10" fontId="14" fillId="0" borderId="44" xfId="269" applyNumberFormat="1" applyFont="1" applyFill="1" applyBorder="1" applyProtection="1"/>
    <xf numFmtId="0" fontId="109" fillId="0" borderId="0" xfId="183" applyFont="1" applyAlignment="1">
      <alignment horizontal="center"/>
    </xf>
    <xf numFmtId="0" fontId="20" fillId="0" borderId="0" xfId="252" applyFont="1"/>
    <xf numFmtId="41" fontId="14" fillId="0" borderId="0" xfId="252" applyNumberFormat="1" applyFont="1" applyAlignment="1">
      <alignment horizontal="center" wrapText="1"/>
    </xf>
    <xf numFmtId="0" fontId="14" fillId="0" borderId="0" xfId="252" applyFont="1" applyAlignment="1">
      <alignment horizontal="center" wrapText="1"/>
    </xf>
    <xf numFmtId="0" fontId="13" fillId="32" borderId="0" xfId="252" applyFont="1" applyFill="1" applyProtection="1">
      <protection locked="0"/>
    </xf>
    <xf numFmtId="173" fontId="20" fillId="0" borderId="0" xfId="252" applyNumberFormat="1" applyFont="1"/>
    <xf numFmtId="196" fontId="13" fillId="32" borderId="0" xfId="252" applyNumberFormat="1" applyFont="1" applyFill="1" applyProtection="1">
      <protection locked="0"/>
    </xf>
    <xf numFmtId="37" fontId="13" fillId="32" borderId="0" xfId="252" applyNumberFormat="1" applyFont="1" applyFill="1" applyProtection="1">
      <protection locked="0"/>
    </xf>
    <xf numFmtId="173" fontId="13" fillId="32" borderId="0" xfId="252" applyNumberFormat="1" applyFont="1" applyFill="1" applyProtection="1">
      <protection locked="0"/>
    </xf>
    <xf numFmtId="0" fontId="89" fillId="32" borderId="0" xfId="252" applyFont="1" applyFill="1" applyProtection="1">
      <protection locked="0"/>
    </xf>
    <xf numFmtId="0" fontId="17" fillId="0" borderId="11" xfId="0" applyFont="1" applyBorder="1"/>
    <xf numFmtId="0" fontId="20" fillId="0" borderId="11" xfId="252" applyFont="1" applyBorder="1"/>
    <xf numFmtId="0" fontId="17" fillId="31" borderId="0" xfId="252" applyFill="1" applyAlignment="1">
      <alignment horizontal="left"/>
    </xf>
    <xf numFmtId="41" fontId="17" fillId="0" borderId="0" xfId="269" applyNumberFormat="1" applyFont="1" applyFill="1" applyBorder="1" applyProtection="1"/>
    <xf numFmtId="185" fontId="17" fillId="0" borderId="0" xfId="88" applyNumberFormat="1" applyFont="1" applyFill="1" applyBorder="1" applyProtection="1"/>
    <xf numFmtId="10" fontId="20" fillId="0" borderId="0" xfId="269" applyNumberFormat="1" applyFont="1" applyFill="1" applyProtection="1"/>
    <xf numFmtId="173" fontId="17" fillId="0" borderId="0" xfId="88" applyNumberFormat="1" applyFont="1" applyFill="1" applyBorder="1" applyProtection="1"/>
    <xf numFmtId="173" fontId="14" fillId="0" borderId="44" xfId="88" applyNumberFormat="1" applyFont="1" applyFill="1" applyBorder="1" applyProtection="1"/>
    <xf numFmtId="0" fontId="99" fillId="0" borderId="0" xfId="252" applyFont="1" applyAlignment="1">
      <alignment horizontal="left"/>
    </xf>
    <xf numFmtId="0" fontId="20" fillId="0" borderId="0" xfId="252" applyFont="1" applyAlignment="1">
      <alignment horizontal="left"/>
    </xf>
    <xf numFmtId="0" fontId="22" fillId="0" borderId="0" xfId="252" applyFont="1" applyAlignment="1">
      <alignment horizontal="left"/>
    </xf>
    <xf numFmtId="0" fontId="22" fillId="0" borderId="0" xfId="252" applyFont="1" applyAlignment="1">
      <alignment horizontal="center" wrapText="1"/>
    </xf>
    <xf numFmtId="164" fontId="13" fillId="32" borderId="0" xfId="269" applyNumberFormat="1" applyFont="1" applyFill="1" applyAlignment="1" applyProtection="1">
      <alignment horizontal="right" wrapText="1"/>
      <protection locked="0"/>
    </xf>
    <xf numFmtId="44" fontId="13" fillId="32" borderId="0" xfId="118" applyFont="1" applyFill="1" applyAlignment="1" applyProtection="1">
      <alignment horizontal="right" wrapText="1"/>
      <protection locked="0"/>
    </xf>
    <xf numFmtId="41" fontId="13" fillId="0" borderId="0" xfId="252" applyNumberFormat="1" applyFont="1"/>
    <xf numFmtId="173" fontId="17" fillId="0" borderId="0" xfId="88" applyNumberFormat="1" applyFill="1" applyProtection="1"/>
    <xf numFmtId="41" fontId="17" fillId="0" borderId="0" xfId="252" applyNumberFormat="1"/>
    <xf numFmtId="41" fontId="100" fillId="0" borderId="0" xfId="252" applyNumberFormat="1" applyFont="1"/>
    <xf numFmtId="41" fontId="17" fillId="0" borderId="12" xfId="252" applyNumberFormat="1" applyBorder="1"/>
    <xf numFmtId="41" fontId="14" fillId="0" borderId="41" xfId="252" applyNumberFormat="1" applyFont="1" applyBorder="1"/>
    <xf numFmtId="3" fontId="0" fillId="0" borderId="0" xfId="0" applyNumberFormat="1"/>
    <xf numFmtId="0" fontId="18" fillId="0" borderId="0" xfId="0" applyFont="1" applyAlignment="1">
      <alignment horizontal="center"/>
    </xf>
    <xf numFmtId="3" fontId="0" fillId="0" borderId="0" xfId="0" applyNumberFormat="1" applyAlignment="1">
      <alignment horizontal="centerContinuous"/>
    </xf>
    <xf numFmtId="3" fontId="18" fillId="0" borderId="0" xfId="0" applyNumberFormat="1" applyFont="1" applyAlignment="1">
      <alignment horizontal="centerContinuous"/>
    </xf>
    <xf numFmtId="3" fontId="17" fillId="0" borderId="0" xfId="0" applyNumberFormat="1" applyFont="1" applyAlignment="1">
      <alignment horizontal="centerContinuous"/>
    </xf>
    <xf numFmtId="3" fontId="0" fillId="0" borderId="45"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0" borderId="45" xfId="0" applyNumberFormat="1" applyBorder="1"/>
    <xf numFmtId="37" fontId="0" fillId="0" borderId="46" xfId="0" applyNumberFormat="1" applyBorder="1"/>
    <xf numFmtId="37" fontId="0" fillId="33" borderId="0" xfId="0" applyNumberFormat="1" applyFill="1"/>
    <xf numFmtId="37" fontId="17" fillId="0" borderId="0" xfId="0" applyNumberFormat="1" applyFont="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3" fillId="0" borderId="46" xfId="0" applyNumberFormat="1" applyFont="1" applyBorder="1"/>
    <xf numFmtId="37" fontId="163" fillId="0" borderId="0" xfId="0" applyNumberFormat="1" applyFont="1"/>
    <xf numFmtId="186" fontId="17" fillId="0" borderId="0" xfId="249" applyNumberFormat="1" applyFont="1"/>
    <xf numFmtId="3" fontId="17" fillId="0" borderId="0" xfId="0" applyNumberFormat="1" applyFont="1" applyAlignment="1">
      <alignment horizontal="center"/>
    </xf>
    <xf numFmtId="4" fontId="17" fillId="0" borderId="0" xfId="0" applyNumberFormat="1" applyFont="1" applyAlignment="1">
      <alignment horizontal="center"/>
    </xf>
    <xf numFmtId="0" fontId="164" fillId="0" borderId="0" xfId="259" applyNumberFormat="1" applyFont="1" applyAlignment="1" applyProtection="1">
      <alignment horizontal="center"/>
    </xf>
    <xf numFmtId="172" fontId="165" fillId="0" borderId="0" xfId="259" applyFont="1" applyProtection="1"/>
    <xf numFmtId="198" fontId="13" fillId="32" borderId="0" xfId="249" applyNumberFormat="1" applyFont="1" applyFill="1" applyProtection="1">
      <protection locked="0"/>
    </xf>
    <xf numFmtId="0" fontId="166" fillId="0" borderId="0" xfId="0" applyFont="1" applyAlignment="1">
      <alignment horizontal="left"/>
    </xf>
    <xf numFmtId="10" fontId="76" fillId="32" borderId="0" xfId="268" applyNumberFormat="1" applyFont="1" applyFill="1" applyAlignment="1" applyProtection="1">
      <alignment horizontal="center"/>
      <protection locked="0"/>
    </xf>
    <xf numFmtId="10" fontId="76" fillId="32" borderId="0" xfId="260" applyNumberFormat="1" applyFont="1" applyFill="1" applyAlignment="1" applyProtection="1">
      <alignment horizontal="center"/>
      <protection locked="0"/>
    </xf>
    <xf numFmtId="173" fontId="23" fillId="0" borderId="0" xfId="260" applyNumberFormat="1" applyFont="1"/>
    <xf numFmtId="0" fontId="23" fillId="0" borderId="0" xfId="260" applyFont="1" applyAlignment="1">
      <alignment horizontal="center" vertical="center"/>
    </xf>
    <xf numFmtId="0" fontId="23" fillId="0" borderId="0" xfId="260" applyFont="1" applyAlignment="1">
      <alignment vertical="center"/>
    </xf>
    <xf numFmtId="0" fontId="167" fillId="0" borderId="0" xfId="260" applyFont="1" applyAlignment="1">
      <alignment horizontal="right"/>
    </xf>
    <xf numFmtId="173" fontId="167" fillId="0" borderId="0" xfId="260" applyNumberFormat="1" applyFont="1"/>
    <xf numFmtId="0" fontId="23" fillId="0" borderId="0" xfId="260" applyFont="1" applyAlignment="1">
      <alignment horizontal="left" indent="2"/>
    </xf>
    <xf numFmtId="173" fontId="168" fillId="0" borderId="0" xfId="260" applyNumberFormat="1" applyFont="1"/>
    <xf numFmtId="0" fontId="142" fillId="0" borderId="0" xfId="260" applyFont="1" applyAlignment="1">
      <alignment horizontal="center"/>
    </xf>
    <xf numFmtId="0" fontId="142" fillId="0" borderId="0" xfId="260" applyFont="1"/>
    <xf numFmtId="0" fontId="143" fillId="0" borderId="0" xfId="260" applyFont="1"/>
    <xf numFmtId="173" fontId="142" fillId="0" borderId="0" xfId="260" applyNumberFormat="1" applyFont="1"/>
    <xf numFmtId="0" fontId="10" fillId="0" borderId="0" xfId="259" applyNumberFormat="1" applyFont="1" applyAlignment="1" applyProtection="1">
      <alignment horizontal="left" wrapText="1"/>
    </xf>
    <xf numFmtId="0" fontId="169" fillId="0" borderId="11" xfId="260" applyFont="1" applyBorder="1" applyAlignment="1">
      <alignment horizontal="center"/>
    </xf>
    <xf numFmtId="0" fontId="169" fillId="0" borderId="2" xfId="260" applyFont="1" applyBorder="1" applyAlignment="1">
      <alignment horizontal="center"/>
    </xf>
    <xf numFmtId="0" fontId="79" fillId="0" borderId="0" xfId="260" applyFont="1" applyAlignment="1">
      <alignment horizontal="center" vertical="center"/>
    </xf>
    <xf numFmtId="0" fontId="23" fillId="0" borderId="11" xfId="260" applyFont="1" applyBorder="1" applyAlignment="1">
      <alignment horizontal="center"/>
    </xf>
    <xf numFmtId="0" fontId="23" fillId="0" borderId="11" xfId="260" applyFont="1" applyBorder="1"/>
    <xf numFmtId="173" fontId="82" fillId="0" borderId="11" xfId="260" applyNumberFormat="1" applyFont="1" applyBorder="1" applyProtection="1">
      <protection locked="0"/>
    </xf>
    <xf numFmtId="173" fontId="76" fillId="0" borderId="11" xfId="260" applyNumberFormat="1" applyFont="1" applyBorder="1"/>
    <xf numFmtId="0" fontId="76" fillId="0" borderId="11" xfId="260" applyFont="1" applyBorder="1" applyAlignment="1" applyProtection="1">
      <alignment horizontal="center"/>
      <protection locked="0"/>
    </xf>
    <xf numFmtId="173" fontId="76" fillId="0" borderId="11" xfId="86" applyNumberFormat="1" applyFont="1" applyFill="1" applyBorder="1" applyAlignment="1" applyProtection="1">
      <alignment horizontal="center"/>
      <protection locked="0"/>
    </xf>
    <xf numFmtId="0" fontId="144" fillId="0" borderId="0" xfId="259" applyNumberFormat="1" applyFont="1" applyAlignment="1" applyProtection="1">
      <alignment horizontal="center"/>
    </xf>
    <xf numFmtId="172" fontId="164" fillId="0" borderId="0" xfId="259" applyFont="1" applyProtection="1"/>
    <xf numFmtId="0" fontId="13" fillId="32" borderId="0" xfId="89" applyNumberFormat="1" applyFont="1" applyFill="1" applyBorder="1" applyAlignment="1" applyProtection="1">
      <alignment horizontal="center"/>
      <protection locked="0"/>
    </xf>
    <xf numFmtId="3" fontId="11" fillId="0" borderId="0" xfId="259" applyNumberFormat="1" applyFont="1" applyAlignment="1" applyProtection="1">
      <alignment horizontal="center" vertical="center"/>
    </xf>
    <xf numFmtId="3" fontId="19" fillId="0" borderId="0" xfId="259" applyNumberFormat="1" applyFont="1" applyAlignment="1" applyProtection="1">
      <alignment horizontal="center"/>
    </xf>
    <xf numFmtId="41" fontId="10" fillId="0" borderId="40" xfId="259" applyNumberFormat="1" applyFont="1" applyBorder="1" applyProtection="1"/>
    <xf numFmtId="0" fontId="68" fillId="0" borderId="0" xfId="0" applyFont="1"/>
    <xf numFmtId="3" fontId="14" fillId="0" borderId="0" xfId="0" applyNumberFormat="1" applyFont="1" applyAlignment="1">
      <alignment horizontal="left"/>
    </xf>
    <xf numFmtId="0" fontId="17" fillId="0" borderId="0" xfId="0" applyFont="1" applyAlignment="1">
      <alignment horizontal="left"/>
    </xf>
    <xf numFmtId="0" fontId="18" fillId="0" borderId="0" xfId="0" applyFont="1" applyAlignment="1">
      <alignment horizontal="left"/>
    </xf>
    <xf numFmtId="0" fontId="17" fillId="0" borderId="0" xfId="0" applyFont="1" applyAlignment="1">
      <alignment vertical="top"/>
    </xf>
    <xf numFmtId="0" fontId="112" fillId="0" borderId="0" xfId="0" applyFont="1" applyAlignment="1">
      <alignment horizontal="center"/>
    </xf>
    <xf numFmtId="0" fontId="17" fillId="0" borderId="0" xfId="263" applyFont="1" applyAlignment="1">
      <alignment horizontal="center"/>
    </xf>
    <xf numFmtId="38" fontId="13" fillId="0" borderId="0" xfId="0" applyNumberFormat="1" applyFont="1" applyProtection="1">
      <protection locked="0"/>
    </xf>
    <xf numFmtId="0" fontId="11" fillId="0" borderId="0" xfId="250" applyFont="1"/>
    <xf numFmtId="0" fontId="78" fillId="0" borderId="0" xfId="260" applyFont="1" applyAlignment="1">
      <alignment vertical="center" wrapText="1"/>
    </xf>
    <xf numFmtId="0" fontId="11" fillId="0" borderId="0" xfId="249" quotePrefix="1" applyFont="1" applyAlignment="1">
      <alignment horizontal="center"/>
    </xf>
    <xf numFmtId="0" fontId="9" fillId="0" borderId="11" xfId="260" applyFont="1" applyBorder="1" applyAlignment="1">
      <alignment horizontal="center" wrapText="1"/>
    </xf>
    <xf numFmtId="0" fontId="9" fillId="0" borderId="11" xfId="260" applyFont="1" applyBorder="1" applyAlignment="1">
      <alignment horizontal="center" vertical="center"/>
    </xf>
    <xf numFmtId="184" fontId="9" fillId="0" borderId="11" xfId="260" applyNumberFormat="1" applyFont="1" applyBorder="1" applyAlignment="1">
      <alignment horizontal="center" vertical="center" wrapText="1"/>
    </xf>
    <xf numFmtId="0" fontId="9" fillId="0" borderId="11" xfId="260" applyFont="1" applyBorder="1" applyAlignment="1">
      <alignment horizontal="center" vertical="center" wrapText="1"/>
    </xf>
    <xf numFmtId="184" fontId="9" fillId="0" borderId="11" xfId="260" applyNumberFormat="1" applyFont="1" applyBorder="1" applyAlignment="1">
      <alignment horizontal="center" vertical="center"/>
    </xf>
    <xf numFmtId="0" fontId="17" fillId="0" borderId="0" xfId="0" applyFont="1" applyAlignment="1">
      <alignment vertical="center"/>
    </xf>
    <xf numFmtId="173" fontId="9" fillId="0" borderId="11" xfId="260" applyNumberFormat="1" applyFont="1" applyBorder="1" applyAlignment="1">
      <alignment vertical="center"/>
    </xf>
    <xf numFmtId="173" fontId="79" fillId="0" borderId="0" xfId="260" applyNumberFormat="1" applyFont="1" applyAlignment="1">
      <alignment vertical="center"/>
    </xf>
    <xf numFmtId="0" fontId="9" fillId="0" borderId="0" xfId="260" applyFont="1" applyAlignment="1">
      <alignment horizontal="right" vertical="center"/>
    </xf>
    <xf numFmtId="0" fontId="76" fillId="0" borderId="0" xfId="260" applyFont="1" applyAlignment="1">
      <alignment wrapText="1"/>
    </xf>
    <xf numFmtId="0" fontId="17" fillId="0" borderId="0" xfId="253" applyFont="1" applyAlignment="1">
      <alignment horizontal="left"/>
    </xf>
    <xf numFmtId="0" fontId="17" fillId="0" borderId="0" xfId="183" applyAlignment="1">
      <alignment wrapText="1"/>
    </xf>
    <xf numFmtId="173" fontId="76" fillId="0" borderId="0" xfId="86" applyNumberFormat="1" applyFont="1" applyFill="1" applyAlignment="1" applyProtection="1">
      <alignment horizontal="center"/>
      <protection locked="0"/>
    </xf>
    <xf numFmtId="173" fontId="17" fillId="0" borderId="0" xfId="260" applyNumberFormat="1" applyFont="1"/>
    <xf numFmtId="0" fontId="17" fillId="0" borderId="0" xfId="165"/>
    <xf numFmtId="0" fontId="115" fillId="0" borderId="0" xfId="261" applyFont="1" applyProtection="1">
      <protection locked="0"/>
    </xf>
    <xf numFmtId="0" fontId="81" fillId="0" borderId="0" xfId="261" applyFont="1"/>
    <xf numFmtId="0" fontId="117" fillId="0" borderId="0" xfId="261" applyFont="1" applyProtection="1">
      <protection locked="0"/>
    </xf>
    <xf numFmtId="0" fontId="118" fillId="0" borderId="0" xfId="261" applyFont="1" applyProtection="1">
      <protection locked="0"/>
    </xf>
    <xf numFmtId="176" fontId="115" fillId="0" borderId="0" xfId="261" applyNumberFormat="1" applyFont="1" applyProtection="1">
      <protection locked="0"/>
    </xf>
    <xf numFmtId="0" fontId="115" fillId="0" borderId="16" xfId="261" applyFont="1" applyBorder="1" applyProtection="1">
      <protection locked="0"/>
    </xf>
    <xf numFmtId="0" fontId="120" fillId="0" borderId="0" xfId="261" applyFont="1" applyProtection="1">
      <protection locked="0"/>
    </xf>
    <xf numFmtId="0" fontId="121" fillId="0" borderId="0" xfId="261" applyFont="1"/>
    <xf numFmtId="0" fontId="122" fillId="0" borderId="0" xfId="261" applyFont="1"/>
    <xf numFmtId="0" fontId="146" fillId="0" borderId="0" xfId="261" applyFont="1" applyAlignment="1">
      <alignment horizontal="center"/>
    </xf>
    <xf numFmtId="0" fontId="17" fillId="0" borderId="0" xfId="165" applyAlignment="1">
      <alignment wrapText="1"/>
    </xf>
    <xf numFmtId="10" fontId="8" fillId="0" borderId="0" xfId="261" applyNumberFormat="1" applyAlignment="1">
      <alignment horizontal="center"/>
    </xf>
    <xf numFmtId="0" fontId="119" fillId="0" borderId="0" xfId="261" applyFont="1"/>
    <xf numFmtId="0" fontId="8" fillId="0" borderId="0" xfId="261" applyAlignment="1">
      <alignment horizontal="center"/>
    </xf>
    <xf numFmtId="10" fontId="8" fillId="0" borderId="0" xfId="261" applyNumberFormat="1" applyAlignment="1">
      <alignment horizontal="right"/>
    </xf>
    <xf numFmtId="194" fontId="81" fillId="0" borderId="0" xfId="261" applyNumberFormat="1" applyFont="1"/>
    <xf numFmtId="10" fontId="81" fillId="0" borderId="0" xfId="261" applyNumberFormat="1" applyFont="1"/>
    <xf numFmtId="0" fontId="119" fillId="0" borderId="30" xfId="261" applyFont="1" applyBorder="1"/>
    <xf numFmtId="0" fontId="115" fillId="0" borderId="30" xfId="261" applyFont="1" applyBorder="1" applyProtection="1">
      <protection locked="0"/>
    </xf>
    <xf numFmtId="10" fontId="8" fillId="0" borderId="30" xfId="261" applyNumberFormat="1" applyBorder="1"/>
    <xf numFmtId="0" fontId="10" fillId="0" borderId="0" xfId="0" applyFont="1" applyAlignment="1">
      <alignment horizontal="left" indent="1"/>
    </xf>
    <xf numFmtId="10" fontId="10" fillId="0" borderId="0" xfId="214" applyNumberFormat="1" applyFont="1" applyAlignment="1">
      <alignment horizontal="center"/>
    </xf>
    <xf numFmtId="0" fontId="11" fillId="0" borderId="0" xfId="183" applyFont="1" applyAlignment="1">
      <alignment horizontal="right"/>
    </xf>
    <xf numFmtId="10" fontId="10" fillId="0" borderId="0" xfId="214" applyNumberFormat="1" applyFont="1" applyAlignment="1">
      <alignment horizontal="right"/>
    </xf>
    <xf numFmtId="177" fontId="10" fillId="0" borderId="0" xfId="86" applyNumberFormat="1" applyFont="1" applyAlignment="1">
      <alignment horizontal="center"/>
    </xf>
    <xf numFmtId="0" fontId="17" fillId="0" borderId="32" xfId="0" applyFont="1" applyBorder="1" applyAlignment="1">
      <alignment horizontal="center"/>
    </xf>
    <xf numFmtId="0" fontId="17" fillId="0" borderId="31" xfId="262" applyBorder="1" applyAlignment="1">
      <alignment horizontal="right"/>
    </xf>
    <xf numFmtId="0" fontId="148" fillId="0" borderId="0" xfId="0" applyFont="1" applyAlignment="1">
      <alignment vertical="center"/>
    </xf>
    <xf numFmtId="0" fontId="149" fillId="0" borderId="0" xfId="0" applyFont="1"/>
    <xf numFmtId="0" fontId="144" fillId="0" borderId="0" xfId="0" applyFont="1"/>
    <xf numFmtId="0" fontId="144" fillId="0" borderId="0" xfId="0" applyFont="1" applyAlignment="1">
      <alignment horizontal="left"/>
    </xf>
    <xf numFmtId="0" fontId="144" fillId="0" borderId="0" xfId="211" applyFont="1" applyAlignment="1">
      <alignment horizontal="center"/>
    </xf>
    <xf numFmtId="0" fontId="149" fillId="0" borderId="0" xfId="0" applyFont="1" applyAlignment="1">
      <alignment horizontal="center"/>
    </xf>
    <xf numFmtId="0" fontId="150" fillId="0" borderId="0" xfId="211" applyFont="1"/>
    <xf numFmtId="0" fontId="144" fillId="0" borderId="0" xfId="211" applyFont="1" applyAlignment="1">
      <alignment horizontal="left"/>
    </xf>
    <xf numFmtId="0" fontId="144" fillId="0" borderId="0" xfId="211" applyFont="1"/>
    <xf numFmtId="3" fontId="144" fillId="0" borderId="0" xfId="0" applyNumberFormat="1" applyFont="1"/>
    <xf numFmtId="3" fontId="144" fillId="0" borderId="0" xfId="0" applyNumberFormat="1" applyFont="1" applyAlignment="1">
      <alignment horizontal="left"/>
    </xf>
    <xf numFmtId="0" fontId="151" fillId="0" borderId="0" xfId="0" applyFont="1" applyAlignment="1">
      <alignment horizontal="center"/>
    </xf>
    <xf numFmtId="0" fontId="152" fillId="0" borderId="0" xfId="0" applyFont="1"/>
    <xf numFmtId="0" fontId="151" fillId="0" borderId="0" xfId="0" applyFont="1" applyAlignment="1">
      <alignment wrapText="1"/>
    </xf>
    <xf numFmtId="0" fontId="151" fillId="0" borderId="0" xfId="0" applyFont="1"/>
    <xf numFmtId="41" fontId="149" fillId="0" borderId="0" xfId="0" applyNumberFormat="1" applyFont="1"/>
    <xf numFmtId="41" fontId="152" fillId="0" borderId="0" xfId="0" applyNumberFormat="1" applyFont="1"/>
    <xf numFmtId="0" fontId="153" fillId="0" borderId="0" xfId="0" applyFont="1" applyAlignment="1">
      <alignment horizontal="center"/>
    </xf>
    <xf numFmtId="0" fontId="154" fillId="0" borderId="0" xfId="0" applyFont="1" applyAlignment="1">
      <alignment horizontal="center"/>
    </xf>
    <xf numFmtId="0" fontId="155" fillId="0" borderId="0" xfId="0" applyFont="1" applyAlignment="1">
      <alignment horizontal="center"/>
    </xf>
    <xf numFmtId="173" fontId="149" fillId="0" borderId="0" xfId="0" applyNumberFormat="1" applyFont="1"/>
    <xf numFmtId="0" fontId="149" fillId="0" borderId="0" xfId="0" applyFont="1" applyAlignment="1">
      <alignment wrapText="1"/>
    </xf>
    <xf numFmtId="0" fontId="149" fillId="0" borderId="11" xfId="0" applyFont="1" applyBorder="1"/>
    <xf numFmtId="0" fontId="152" fillId="0" borderId="11" xfId="0" applyFont="1" applyBorder="1"/>
    <xf numFmtId="0" fontId="152" fillId="0" borderId="0" xfId="0" applyFont="1" applyAlignment="1">
      <alignment horizontal="center"/>
    </xf>
    <xf numFmtId="190" fontId="152" fillId="0" borderId="0" xfId="111" applyNumberFormat="1" applyFont="1" applyAlignment="1">
      <alignment horizontal="center"/>
    </xf>
    <xf numFmtId="173" fontId="149" fillId="0" borderId="14" xfId="0" applyNumberFormat="1" applyFont="1" applyBorder="1"/>
    <xf numFmtId="173" fontId="152" fillId="0" borderId="14" xfId="0" applyNumberFormat="1" applyFont="1" applyBorder="1"/>
    <xf numFmtId="41" fontId="149" fillId="0" borderId="14" xfId="0" applyNumberFormat="1" applyFont="1" applyBorder="1"/>
    <xf numFmtId="43" fontId="152" fillId="0" borderId="0" xfId="0" applyNumberFormat="1" applyFont="1"/>
    <xf numFmtId="0" fontId="152" fillId="0" borderId="0" xfId="0" applyFont="1" applyAlignment="1">
      <alignment wrapText="1"/>
    </xf>
    <xf numFmtId="0" fontId="151" fillId="0" borderId="0" xfId="0" applyFont="1" applyAlignment="1">
      <alignment horizontal="center" wrapText="1"/>
    </xf>
    <xf numFmtId="43" fontId="151" fillId="0" borderId="0" xfId="111" applyFont="1" applyAlignment="1">
      <alignment horizontal="center" wrapText="1"/>
    </xf>
    <xf numFmtId="173" fontId="149" fillId="0" borderId="0" xfId="111" applyNumberFormat="1" applyFont="1"/>
    <xf numFmtId="173" fontId="149" fillId="32" borderId="0" xfId="111" applyNumberFormat="1" applyFont="1" applyFill="1" applyProtection="1">
      <protection locked="0"/>
    </xf>
    <xf numFmtId="173" fontId="151" fillId="0" borderId="0" xfId="111" applyNumberFormat="1" applyFont="1" applyAlignment="1">
      <alignment horizontal="center" wrapText="1"/>
    </xf>
    <xf numFmtId="173" fontId="151" fillId="0" borderId="0" xfId="111" applyNumberFormat="1" applyFont="1"/>
    <xf numFmtId="173" fontId="151" fillId="0" borderId="0" xfId="111" applyNumberFormat="1" applyFont="1" applyAlignment="1">
      <alignment horizontal="center"/>
    </xf>
    <xf numFmtId="10" fontId="149" fillId="0" borderId="0" xfId="289" applyNumberFormat="1" applyFont="1"/>
    <xf numFmtId="173" fontId="149" fillId="0" borderId="11" xfId="0" applyNumberFormat="1" applyFont="1" applyBorder="1"/>
    <xf numFmtId="173" fontId="149" fillId="0" borderId="11" xfId="111" applyNumberFormat="1" applyFont="1" applyBorder="1"/>
    <xf numFmtId="0" fontId="10" fillId="0" borderId="0" xfId="259" applyNumberFormat="1" applyFont="1" applyAlignment="1" applyProtection="1">
      <alignment horizontal="left" indent="4"/>
    </xf>
    <xf numFmtId="41" fontId="24" fillId="0" borderId="0" xfId="259" applyNumberFormat="1" applyFont="1" applyProtection="1">
      <protection locked="0"/>
    </xf>
    <xf numFmtId="0" fontId="17" fillId="32" borderId="0" xfId="211" applyFill="1" applyProtection="1">
      <protection locked="0"/>
    </xf>
    <xf numFmtId="0" fontId="24" fillId="32" borderId="0" xfId="251" applyFont="1" applyFill="1" applyAlignment="1" applyProtection="1">
      <alignment horizontal="center"/>
      <protection locked="0"/>
    </xf>
    <xf numFmtId="41" fontId="24" fillId="32" borderId="0" xfId="251" applyNumberFormat="1" applyFont="1" applyFill="1" applyProtection="1">
      <protection locked="0"/>
    </xf>
    <xf numFmtId="41" fontId="24" fillId="32" borderId="11" xfId="251" applyNumberFormat="1" applyFont="1" applyFill="1" applyBorder="1" applyProtection="1">
      <protection locked="0"/>
    </xf>
    <xf numFmtId="10" fontId="10" fillId="31" borderId="0" xfId="0" applyNumberFormat="1" applyFont="1" applyFill="1"/>
    <xf numFmtId="10" fontId="76" fillId="0" borderId="0" xfId="269" applyNumberFormat="1" applyFont="1" applyFill="1"/>
    <xf numFmtId="164" fontId="76" fillId="0" borderId="0" xfId="269" applyNumberFormat="1" applyFont="1" applyFill="1"/>
    <xf numFmtId="10" fontId="82" fillId="32" borderId="11" xfId="269" applyNumberFormat="1" applyFont="1" applyFill="1" applyBorder="1" applyProtection="1">
      <protection locked="0"/>
    </xf>
    <xf numFmtId="9" fontId="82" fillId="32" borderId="11" xfId="269" applyFont="1" applyFill="1" applyBorder="1" applyProtection="1">
      <protection locked="0"/>
    </xf>
    <xf numFmtId="9" fontId="76" fillId="0" borderId="0" xfId="269" applyFont="1" applyFill="1"/>
    <xf numFmtId="10" fontId="76" fillId="0" borderId="11" xfId="269" applyNumberFormat="1" applyFont="1" applyFill="1" applyBorder="1"/>
    <xf numFmtId="173" fontId="76" fillId="0" borderId="0" xfId="88" applyNumberFormat="1" applyFont="1" applyFill="1"/>
    <xf numFmtId="10" fontId="76" fillId="0" borderId="0" xfId="269" applyNumberFormat="1" applyFont="1" applyFill="1" applyBorder="1"/>
    <xf numFmtId="0" fontId="13" fillId="32" borderId="0" xfId="251" applyFont="1" applyFill="1" applyProtection="1">
      <protection locked="0"/>
    </xf>
    <xf numFmtId="173" fontId="17" fillId="0" borderId="0" xfId="88" applyNumberFormat="1" applyFont="1" applyProtection="1"/>
    <xf numFmtId="173" fontId="17" fillId="0" borderId="0" xfId="88" applyNumberFormat="1" applyFont="1" applyBorder="1" applyProtection="1"/>
    <xf numFmtId="0" fontId="24" fillId="32" borderId="0" xfId="88" applyNumberFormat="1" applyFont="1" applyFill="1" applyAlignment="1" applyProtection="1">
      <alignment horizontal="left"/>
    </xf>
    <xf numFmtId="173" fontId="14" fillId="0" borderId="25" xfId="88" applyNumberFormat="1" applyFont="1" applyBorder="1" applyProtection="1"/>
    <xf numFmtId="0" fontId="10" fillId="0" borderId="0" xfId="88" applyNumberFormat="1" applyFont="1" applyFill="1" applyAlignment="1" applyProtection="1">
      <alignment horizontal="left"/>
    </xf>
    <xf numFmtId="0" fontId="10" fillId="0" borderId="0" xfId="88" applyNumberFormat="1" applyFont="1" applyFill="1" applyBorder="1" applyAlignment="1" applyProtection="1">
      <alignment horizontal="left"/>
    </xf>
    <xf numFmtId="0" fontId="11" fillId="0" borderId="0" xfId="88" applyNumberFormat="1" applyFont="1" applyFill="1" applyBorder="1" applyAlignment="1" applyProtection="1">
      <alignment horizontal="left"/>
    </xf>
    <xf numFmtId="173" fontId="14" fillId="0" borderId="29" xfId="88" applyNumberFormat="1" applyFont="1" applyBorder="1" applyProtection="1"/>
    <xf numFmtId="173" fontId="14" fillId="0" borderId="19" xfId="88" applyNumberFormat="1" applyFont="1" applyBorder="1" applyProtection="1"/>
    <xf numFmtId="173" fontId="17" fillId="0" borderId="6" xfId="88" applyNumberFormat="1" applyFont="1" applyBorder="1" applyProtection="1"/>
    <xf numFmtId="173" fontId="17" fillId="0" borderId="20" xfId="88" applyNumberFormat="1" applyFont="1" applyBorder="1" applyProtection="1"/>
    <xf numFmtId="173" fontId="17" fillId="0" borderId="0" xfId="88" applyNumberFormat="1" applyFont="1" applyFill="1" applyAlignment="1" applyProtection="1"/>
    <xf numFmtId="173" fontId="161" fillId="32" borderId="18" xfId="88" applyNumberFormat="1" applyFont="1" applyFill="1" applyBorder="1" applyAlignment="1" applyProtection="1">
      <alignment horizontal="right"/>
      <protection locked="0"/>
    </xf>
    <xf numFmtId="173" fontId="13" fillId="0" borderId="18" xfId="0" applyNumberFormat="1" applyFont="1" applyBorder="1" applyAlignment="1">
      <alignment horizontal="right"/>
    </xf>
    <xf numFmtId="173" fontId="14" fillId="0" borderId="0" xfId="88" applyNumberFormat="1" applyFont="1" applyBorder="1" applyAlignment="1" applyProtection="1">
      <alignment horizontal="center" wrapText="1"/>
    </xf>
    <xf numFmtId="173" fontId="14" fillId="0" borderId="26" xfId="88" applyNumberFormat="1" applyFont="1" applyBorder="1" applyAlignment="1" applyProtection="1">
      <alignment horizontal="center" wrapText="1"/>
    </xf>
    <xf numFmtId="173" fontId="14" fillId="0" borderId="25" xfId="88" applyNumberFormat="1" applyFont="1" applyBorder="1" applyAlignment="1" applyProtection="1">
      <alignment horizontal="center" wrapText="1"/>
    </xf>
    <xf numFmtId="173" fontId="14" fillId="29" borderId="26" xfId="88" applyNumberFormat="1" applyFont="1" applyFill="1" applyBorder="1" applyAlignment="1" applyProtection="1">
      <alignment horizontal="center" wrapText="1"/>
    </xf>
    <xf numFmtId="173" fontId="14" fillId="0" borderId="28" xfId="88" applyNumberFormat="1" applyFont="1" applyBorder="1" applyAlignment="1" applyProtection="1">
      <alignment horizontal="center"/>
    </xf>
    <xf numFmtId="173" fontId="14" fillId="0" borderId="20" xfId="88" applyNumberFormat="1" applyFont="1" applyBorder="1" applyAlignment="1" applyProtection="1">
      <alignment horizontal="center"/>
    </xf>
    <xf numFmtId="173" fontId="14" fillId="29" borderId="28" xfId="88" applyNumberFormat="1" applyFont="1" applyFill="1" applyBorder="1" applyAlignment="1" applyProtection="1">
      <alignment horizontal="center"/>
    </xf>
    <xf numFmtId="173" fontId="17" fillId="0" borderId="27" xfId="88" applyNumberFormat="1" applyFont="1" applyBorder="1" applyProtection="1"/>
    <xf numFmtId="173" fontId="17" fillId="0" borderId="27" xfId="88" applyNumberFormat="1" applyFont="1" applyFill="1" applyBorder="1" applyProtection="1"/>
    <xf numFmtId="173" fontId="17" fillId="0" borderId="18" xfId="88" applyNumberFormat="1" applyFont="1" applyFill="1" applyBorder="1" applyAlignment="1" applyProtection="1">
      <alignment horizontal="left" indent="3"/>
    </xf>
    <xf numFmtId="173" fontId="17" fillId="0" borderId="18" xfId="88" applyNumberFormat="1" applyFont="1" applyBorder="1" applyProtection="1"/>
    <xf numFmtId="174" fontId="161" fillId="32" borderId="27" xfId="0" applyNumberFormat="1" applyFont="1" applyFill="1" applyBorder="1" applyProtection="1">
      <protection locked="0"/>
    </xf>
    <xf numFmtId="173" fontId="17" fillId="31" borderId="0" xfId="0" applyNumberFormat="1" applyFont="1" applyFill="1"/>
    <xf numFmtId="173" fontId="17" fillId="31" borderId="27" xfId="0" applyNumberFormat="1" applyFont="1" applyFill="1" applyBorder="1"/>
    <xf numFmtId="173" fontId="17" fillId="31" borderId="27" xfId="88" applyNumberFormat="1" applyFont="1" applyFill="1" applyBorder="1" applyProtection="1"/>
    <xf numFmtId="173" fontId="17" fillId="31" borderId="18" xfId="88" applyNumberFormat="1" applyFont="1" applyFill="1" applyBorder="1" applyProtection="1"/>
    <xf numFmtId="174" fontId="17" fillId="31" borderId="27" xfId="0" applyNumberFormat="1" applyFont="1" applyFill="1" applyBorder="1"/>
    <xf numFmtId="173" fontId="17" fillId="0" borderId="28" xfId="88" applyNumberFormat="1" applyFont="1" applyBorder="1" applyProtection="1"/>
    <xf numFmtId="173" fontId="17" fillId="0" borderId="0" xfId="88" applyNumberFormat="1" applyProtection="1"/>
    <xf numFmtId="0" fontId="17" fillId="31" borderId="27" xfId="0" applyFont="1" applyFill="1" applyBorder="1" applyAlignment="1">
      <alignment horizontal="center"/>
    </xf>
    <xf numFmtId="39" fontId="23" fillId="0" borderId="0" xfId="257" applyNumberFormat="1" applyFont="1"/>
    <xf numFmtId="173" fontId="156" fillId="32" borderId="0" xfId="112" applyNumberFormat="1" applyFont="1" applyFill="1" applyProtection="1">
      <protection locked="0"/>
    </xf>
    <xf numFmtId="41" fontId="152" fillId="0" borderId="0" xfId="254" applyNumberFormat="1" applyFont="1"/>
    <xf numFmtId="0" fontId="0" fillId="0" borderId="11" xfId="0" applyBorder="1"/>
    <xf numFmtId="0" fontId="20" fillId="0" borderId="11" xfId="0" applyFont="1" applyBorder="1"/>
    <xf numFmtId="173" fontId="17" fillId="0" borderId="11" xfId="88" applyNumberFormat="1" applyFont="1" applyBorder="1" applyProtection="1"/>
    <xf numFmtId="174" fontId="17" fillId="0" borderId="11" xfId="0" applyNumberFormat="1" applyFont="1" applyBorder="1"/>
    <xf numFmtId="0" fontId="68" fillId="32" borderId="0" xfId="0" applyFont="1" applyFill="1" applyAlignment="1" applyProtection="1">
      <alignment horizontal="left"/>
      <protection locked="0"/>
    </xf>
    <xf numFmtId="3" fontId="68" fillId="32" borderId="0" xfId="0" quotePrefix="1" applyNumberFormat="1" applyFont="1" applyFill="1" applyProtection="1">
      <protection locked="0"/>
    </xf>
    <xf numFmtId="0" fontId="68" fillId="32" borderId="0" xfId="88" quotePrefix="1" applyNumberFormat="1" applyFont="1" applyFill="1" applyAlignment="1" applyProtection="1">
      <alignment horizontal="left"/>
      <protection locked="0"/>
    </xf>
    <xf numFmtId="10" fontId="10" fillId="0" borderId="14" xfId="0" applyNumberFormat="1" applyFont="1" applyBorder="1"/>
    <xf numFmtId="173" fontId="156" fillId="32" borderId="11" xfId="112" applyNumberFormat="1" applyFont="1" applyFill="1" applyBorder="1" applyProtection="1">
      <protection locked="0"/>
    </xf>
    <xf numFmtId="9" fontId="10" fillId="0" borderId="0" xfId="0" applyNumberFormat="1" applyFont="1"/>
    <xf numFmtId="0" fontId="0" fillId="31" borderId="0" xfId="0" applyFill="1"/>
    <xf numFmtId="0" fontId="82" fillId="32" borderId="0" xfId="260" applyFont="1" applyFill="1" applyAlignment="1" applyProtection="1">
      <alignment horizontal="center"/>
      <protection locked="0"/>
    </xf>
    <xf numFmtId="173" fontId="76" fillId="0" borderId="0" xfId="86" applyNumberFormat="1" applyFont="1"/>
    <xf numFmtId="39" fontId="23" fillId="0" borderId="0" xfId="256" applyNumberFormat="1" applyFont="1"/>
    <xf numFmtId="173" fontId="23" fillId="0" borderId="0" xfId="86" applyNumberFormat="1" applyFont="1"/>
    <xf numFmtId="43" fontId="23" fillId="0" borderId="0" xfId="86" applyFont="1"/>
    <xf numFmtId="10" fontId="23" fillId="0" borderId="0" xfId="269" applyNumberFormat="1" applyFont="1" applyFill="1"/>
    <xf numFmtId="9" fontId="23" fillId="0" borderId="0" xfId="269" applyFont="1" applyFill="1"/>
    <xf numFmtId="0" fontId="13" fillId="32" borderId="0" xfId="89" quotePrefix="1" applyNumberFormat="1" applyFont="1" applyFill="1" applyBorder="1" applyAlignment="1" applyProtection="1">
      <alignment horizontal="center"/>
      <protection locked="0"/>
    </xf>
    <xf numFmtId="0" fontId="24" fillId="32" borderId="0" xfId="249" quotePrefix="1" applyFont="1" applyFill="1" applyAlignment="1" applyProtection="1">
      <alignment horizontal="center"/>
      <protection locked="0"/>
    </xf>
    <xf numFmtId="0" fontId="81" fillId="0" borderId="30" xfId="261" applyFont="1" applyBorder="1" applyAlignment="1">
      <alignment horizontal="center"/>
    </xf>
    <xf numFmtId="0" fontId="119" fillId="0" borderId="16" xfId="0" applyFont="1" applyBorder="1"/>
    <xf numFmtId="0" fontId="115" fillId="0" borderId="16" xfId="0" applyFont="1" applyBorder="1" applyProtection="1">
      <protection locked="0"/>
    </xf>
    <xf numFmtId="192" fontId="0" fillId="0" borderId="16" xfId="0" applyNumberFormat="1" applyBorder="1"/>
    <xf numFmtId="176" fontId="0" fillId="0" borderId="16" xfId="0" applyNumberFormat="1" applyBorder="1"/>
    <xf numFmtId="176" fontId="0" fillId="0" borderId="16" xfId="0" applyNumberFormat="1" applyBorder="1" applyAlignment="1">
      <alignment horizontal="center"/>
    </xf>
    <xf numFmtId="0" fontId="119" fillId="0" borderId="30" xfId="0" applyFont="1" applyBorder="1"/>
    <xf numFmtId="0" fontId="115" fillId="0" borderId="30" xfId="0" applyFont="1" applyBorder="1" applyProtection="1">
      <protection locked="0"/>
    </xf>
    <xf numFmtId="10" fontId="0" fillId="0" borderId="30" xfId="0" applyNumberFormat="1" applyBorder="1"/>
    <xf numFmtId="192" fontId="0" fillId="0" borderId="30" xfId="0" applyNumberFormat="1" applyBorder="1"/>
    <xf numFmtId="176" fontId="0" fillId="0" borderId="30" xfId="0" applyNumberFormat="1" applyBorder="1"/>
    <xf numFmtId="0" fontId="7" fillId="0" borderId="0" xfId="404" applyAlignment="1">
      <alignment wrapText="1"/>
    </xf>
    <xf numFmtId="0" fontId="29" fillId="0" borderId="0" xfId="404" applyFont="1"/>
    <xf numFmtId="9" fontId="29" fillId="0" borderId="0" xfId="524" applyFont="1"/>
    <xf numFmtId="10" fontId="29" fillId="0" borderId="0" xfId="486" applyNumberFormat="1" applyFont="1"/>
    <xf numFmtId="172" fontId="29" fillId="0" borderId="0" xfId="525" applyFont="1"/>
    <xf numFmtId="41" fontId="29" fillId="32" borderId="50" xfId="249" applyNumberFormat="1" applyFont="1" applyFill="1" applyBorder="1" applyProtection="1">
      <protection locked="0"/>
    </xf>
    <xf numFmtId="41" fontId="29" fillId="32" borderId="0" xfId="249" applyNumberFormat="1" applyFont="1" applyFill="1" applyProtection="1">
      <protection locked="0"/>
    </xf>
    <xf numFmtId="41" fontId="29" fillId="32" borderId="52" xfId="249" applyNumberFormat="1" applyFont="1" applyFill="1" applyBorder="1" applyProtection="1">
      <protection locked="0"/>
    </xf>
    <xf numFmtId="41" fontId="29" fillId="32" borderId="42" xfId="249" applyNumberFormat="1" applyFont="1" applyFill="1" applyBorder="1" applyProtection="1">
      <protection locked="0"/>
    </xf>
    <xf numFmtId="41" fontId="29" fillId="0" borderId="42" xfId="404" applyNumberFormat="1" applyFont="1" applyBorder="1"/>
    <xf numFmtId="173" fontId="29" fillId="0" borderId="0" xfId="527" applyNumberFormat="1" applyFont="1" applyBorder="1" applyAlignment="1">
      <alignment horizontal="center"/>
    </xf>
    <xf numFmtId="41" fontId="29" fillId="0" borderId="52" xfId="404" applyNumberFormat="1" applyFont="1" applyBorder="1"/>
    <xf numFmtId="41" fontId="29" fillId="32" borderId="34" xfId="249" applyNumberFormat="1" applyFont="1" applyFill="1" applyBorder="1" applyAlignment="1" applyProtection="1">
      <alignment vertical="center" wrapText="1"/>
      <protection locked="0"/>
    </xf>
    <xf numFmtId="41" fontId="29" fillId="32" borderId="34" xfId="249" applyNumberFormat="1" applyFont="1" applyFill="1" applyBorder="1" applyAlignment="1" applyProtection="1">
      <alignment vertical="top"/>
      <protection locked="0"/>
    </xf>
    <xf numFmtId="172" fontId="29" fillId="0" borderId="0" xfId="404" applyNumberFormat="1" applyFont="1"/>
    <xf numFmtId="41" fontId="29" fillId="32" borderId="54" xfId="249" applyNumberFormat="1" applyFont="1" applyFill="1" applyBorder="1" applyProtection="1">
      <protection locked="0"/>
    </xf>
    <xf numFmtId="173" fontId="29" fillId="0" borderId="55" xfId="527" applyNumberFormat="1" applyFont="1" applyBorder="1" applyAlignment="1"/>
    <xf numFmtId="177" fontId="29" fillId="0" borderId="55" xfId="527" applyNumberFormat="1" applyFont="1" applyBorder="1" applyAlignment="1"/>
    <xf numFmtId="173" fontId="29" fillId="0" borderId="55" xfId="527" applyNumberFormat="1" applyFont="1" applyFill="1" applyBorder="1" applyAlignment="1"/>
    <xf numFmtId="1" fontId="29" fillId="0" borderId="0" xfId="527" applyNumberFormat="1" applyFont="1" applyBorder="1" applyAlignment="1"/>
    <xf numFmtId="177" fontId="29" fillId="0" borderId="0" xfId="527" applyNumberFormat="1" applyFont="1" applyBorder="1" applyAlignment="1"/>
    <xf numFmtId="173" fontId="29" fillId="0" borderId="56" xfId="527" applyNumberFormat="1" applyFont="1" applyBorder="1" applyAlignment="1">
      <alignment horizontal="center"/>
    </xf>
    <xf numFmtId="173" fontId="29" fillId="0" borderId="0" xfId="527" applyNumberFormat="1" applyFont="1" applyBorder="1" applyAlignment="1"/>
    <xf numFmtId="41" fontId="29" fillId="32" borderId="34" xfId="249" applyNumberFormat="1" applyFont="1" applyFill="1" applyBorder="1" applyAlignment="1" applyProtection="1">
      <alignment vertical="center"/>
      <protection locked="0"/>
    </xf>
    <xf numFmtId="172" fontId="29" fillId="0" borderId="0" xfId="525" applyFont="1" applyAlignment="1">
      <alignment horizontal="center"/>
    </xf>
    <xf numFmtId="172" fontId="7" fillId="0" borderId="0" xfId="525" applyFont="1" applyAlignment="1">
      <alignment horizontal="right"/>
    </xf>
    <xf numFmtId="14" fontId="29" fillId="0" borderId="0" xfId="525" applyNumberFormat="1" applyFont="1"/>
    <xf numFmtId="41" fontId="29" fillId="0" borderId="0" xfId="525" applyNumberFormat="1" applyFont="1"/>
    <xf numFmtId="0" fontId="29" fillId="0" borderId="0" xfId="0" applyFont="1"/>
    <xf numFmtId="172" fontId="30" fillId="0" borderId="0" xfId="525" applyFont="1"/>
    <xf numFmtId="172" fontId="29" fillId="0" borderId="11" xfId="525" applyFont="1" applyBorder="1"/>
    <xf numFmtId="172" fontId="30" fillId="0" borderId="11" xfId="525" applyFont="1" applyBorder="1" applyAlignment="1">
      <alignment horizontal="center"/>
    </xf>
    <xf numFmtId="172" fontId="30" fillId="0" borderId="11" xfId="525" applyFont="1" applyBorder="1" applyAlignment="1">
      <alignment horizontal="center" wrapText="1"/>
    </xf>
    <xf numFmtId="172" fontId="30" fillId="0" borderId="49" xfId="525" applyFont="1" applyBorder="1" applyAlignment="1">
      <alignment horizontal="center" wrapText="1"/>
    </xf>
    <xf numFmtId="172" fontId="30" fillId="0" borderId="0" xfId="525" applyFont="1" applyAlignment="1">
      <alignment horizontal="center"/>
    </xf>
    <xf numFmtId="172" fontId="30" fillId="0" borderId="0" xfId="525" applyFont="1" applyAlignment="1">
      <alignment horizontal="center" wrapText="1"/>
    </xf>
    <xf numFmtId="173" fontId="30" fillId="0" borderId="0" xfId="525" applyNumberFormat="1" applyFont="1" applyAlignment="1">
      <alignment horizontal="center"/>
    </xf>
    <xf numFmtId="172" fontId="30" fillId="0" borderId="0" xfId="525" applyFont="1" applyAlignment="1">
      <alignment horizontal="left"/>
    </xf>
    <xf numFmtId="172" fontId="29" fillId="34" borderId="0" xfId="525" applyFont="1" applyFill="1"/>
    <xf numFmtId="49" fontId="29" fillId="0" borderId="0" xfId="525" applyNumberFormat="1" applyFont="1" applyAlignment="1">
      <alignment horizontal="center"/>
    </xf>
    <xf numFmtId="173" fontId="29" fillId="35" borderId="50" xfId="372" applyNumberFormat="1" applyFont="1" applyFill="1" applyBorder="1"/>
    <xf numFmtId="173" fontId="29" fillId="0" borderId="51" xfId="372" applyNumberFormat="1" applyFont="1" applyFill="1" applyBorder="1"/>
    <xf numFmtId="173" fontId="29" fillId="35" borderId="0" xfId="372" applyNumberFormat="1" applyFont="1" applyFill="1" applyBorder="1"/>
    <xf numFmtId="41" fontId="29" fillId="0" borderId="0" xfId="525" applyNumberFormat="1" applyFont="1" applyAlignment="1">
      <alignment horizontal="center"/>
    </xf>
    <xf numFmtId="173" fontId="29" fillId="35" borderId="35" xfId="372" applyNumberFormat="1" applyFont="1" applyFill="1" applyBorder="1"/>
    <xf numFmtId="173" fontId="29" fillId="35" borderId="53" xfId="372" applyNumberFormat="1" applyFont="1" applyFill="1" applyBorder="1"/>
    <xf numFmtId="173" fontId="29" fillId="0" borderId="53" xfId="372" applyNumberFormat="1" applyFont="1" applyFill="1" applyBorder="1"/>
    <xf numFmtId="173" fontId="29" fillId="35" borderId="52" xfId="372" applyNumberFormat="1" applyFont="1" applyFill="1" applyBorder="1"/>
    <xf numFmtId="173" fontId="29" fillId="0" borderId="52" xfId="372" applyNumberFormat="1" applyFont="1" applyFill="1" applyBorder="1"/>
    <xf numFmtId="0" fontId="174" fillId="0" borderId="0" xfId="0" applyFont="1"/>
    <xf numFmtId="172" fontId="29" fillId="0" borderId="0" xfId="525" applyFont="1" applyAlignment="1">
      <alignment wrapText="1"/>
    </xf>
    <xf numFmtId="173" fontId="29" fillId="0" borderId="0" xfId="372" applyNumberFormat="1" applyFont="1" applyFill="1" applyBorder="1"/>
    <xf numFmtId="173" fontId="29" fillId="0" borderId="0" xfId="372" applyNumberFormat="1" applyFont="1" applyBorder="1" applyAlignment="1">
      <alignment wrapText="1"/>
    </xf>
    <xf numFmtId="172" fontId="29" fillId="0" borderId="0" xfId="525" applyFont="1" applyAlignment="1">
      <alignment horizontal="left"/>
    </xf>
    <xf numFmtId="173" fontId="29" fillId="0" borderId="0" xfId="372" applyNumberFormat="1" applyFont="1" applyAlignment="1">
      <alignment wrapText="1"/>
    </xf>
    <xf numFmtId="173" fontId="29" fillId="0" borderId="0" xfId="527" applyNumberFormat="1" applyFont="1" applyAlignment="1"/>
    <xf numFmtId="172" fontId="29" fillId="0" borderId="0" xfId="525" applyFont="1" applyAlignment="1">
      <alignment horizontal="left" vertical="center"/>
    </xf>
    <xf numFmtId="172" fontId="29" fillId="0" borderId="0" xfId="525" applyFont="1" applyAlignment="1">
      <alignment vertical="top" wrapText="1"/>
    </xf>
    <xf numFmtId="173" fontId="29" fillId="0" borderId="0" xfId="525" applyNumberFormat="1" applyFont="1"/>
    <xf numFmtId="172" fontId="29" fillId="0" borderId="0" xfId="525" applyFont="1" applyAlignment="1">
      <alignment vertical="top"/>
    </xf>
    <xf numFmtId="172" fontId="30" fillId="0" borderId="0" xfId="525" applyFont="1" applyAlignment="1">
      <alignment horizontal="left" vertical="center"/>
    </xf>
    <xf numFmtId="173" fontId="29" fillId="0" borderId="0" xfId="525" applyNumberFormat="1" applyFont="1" applyAlignment="1">
      <alignment horizontal="left" vertical="center"/>
    </xf>
    <xf numFmtId="173" fontId="156" fillId="32" borderId="0" xfId="369" applyNumberFormat="1" applyFont="1" applyFill="1" applyProtection="1">
      <protection locked="0"/>
    </xf>
    <xf numFmtId="41" fontId="13" fillId="0" borderId="0" xfId="249" applyNumberFormat="1" applyFont="1" applyProtection="1">
      <protection locked="0"/>
    </xf>
    <xf numFmtId="176" fontId="127" fillId="32" borderId="0" xfId="486" applyNumberFormat="1" applyFont="1" applyFill="1" applyProtection="1">
      <protection locked="0"/>
    </xf>
    <xf numFmtId="41" fontId="32" fillId="0" borderId="11" xfId="249" applyNumberFormat="1" applyFont="1" applyBorder="1"/>
    <xf numFmtId="5" fontId="82" fillId="33" borderId="11" xfId="260" applyNumberFormat="1" applyFont="1" applyFill="1" applyBorder="1" applyProtection="1">
      <protection locked="0"/>
    </xf>
    <xf numFmtId="164" fontId="149" fillId="27" borderId="0" xfId="486" applyNumberFormat="1" applyFont="1" applyFill="1" applyProtection="1">
      <protection locked="0"/>
    </xf>
    <xf numFmtId="164" fontId="149" fillId="27" borderId="11" xfId="486" applyNumberFormat="1" applyFont="1" applyFill="1" applyBorder="1" applyProtection="1">
      <protection locked="0"/>
    </xf>
    <xf numFmtId="0" fontId="7" fillId="0" borderId="0" xfId="404"/>
    <xf numFmtId="10" fontId="0" fillId="0" borderId="16" xfId="0" applyNumberFormat="1" applyBorder="1" applyAlignment="1">
      <alignment horizontal="center"/>
    </xf>
    <xf numFmtId="0" fontId="119" fillId="0" borderId="0" xfId="0" applyFont="1"/>
    <xf numFmtId="0" fontId="115" fillId="0" borderId="0" xfId="0" applyFont="1" applyProtection="1">
      <protection locked="0"/>
    </xf>
    <xf numFmtId="0" fontId="175" fillId="0" borderId="0" xfId="0" applyFont="1" applyAlignment="1">
      <alignment horizontal="center"/>
    </xf>
    <xf numFmtId="0" fontId="10" fillId="0" borderId="0" xfId="528" applyFont="1"/>
    <xf numFmtId="0" fontId="7" fillId="0" borderId="0" xfId="528"/>
    <xf numFmtId="0" fontId="7" fillId="0" borderId="0" xfId="528" applyAlignment="1">
      <alignment horizontal="center"/>
    </xf>
    <xf numFmtId="0" fontId="7" fillId="0" borderId="0" xfId="0" applyFont="1" applyAlignment="1">
      <alignment horizontal="center"/>
    </xf>
    <xf numFmtId="41" fontId="13" fillId="36" borderId="0" xfId="249" applyNumberFormat="1" applyFont="1" applyFill="1" applyProtection="1">
      <protection locked="0"/>
    </xf>
    <xf numFmtId="37" fontId="0" fillId="36" borderId="0" xfId="0" applyNumberFormat="1" applyFill="1"/>
    <xf numFmtId="2" fontId="7" fillId="0" borderId="0" xfId="529" applyNumberFormat="1" applyFont="1"/>
    <xf numFmtId="172" fontId="7" fillId="0" borderId="0" xfId="529" applyFont="1"/>
    <xf numFmtId="172" fontId="10" fillId="0" borderId="0" xfId="529" applyFont="1" applyAlignment="1">
      <alignment horizontal="right"/>
    </xf>
    <xf numFmtId="172" fontId="29" fillId="0" borderId="0" xfId="529" applyFont="1" applyAlignment="1">
      <alignment horizontal="right"/>
    </xf>
    <xf numFmtId="173" fontId="7" fillId="0" borderId="0" xfId="530" applyNumberFormat="1" applyFont="1"/>
    <xf numFmtId="2" fontId="7" fillId="0" borderId="0" xfId="531" applyNumberFormat="1" applyFont="1"/>
    <xf numFmtId="172" fontId="7" fillId="0" borderId="0" xfId="529" applyFont="1" applyAlignment="1">
      <alignment horizontal="right"/>
    </xf>
    <xf numFmtId="173" fontId="14" fillId="0" borderId="0" xfId="530" applyNumberFormat="1" applyFont="1"/>
    <xf numFmtId="2" fontId="7" fillId="0" borderId="0" xfId="529" applyNumberFormat="1" applyFont="1" applyAlignment="1">
      <alignment horizontal="center"/>
    </xf>
    <xf numFmtId="172" fontId="7" fillId="0" borderId="0" xfId="529" applyFont="1" applyAlignment="1">
      <alignment horizontal="center"/>
    </xf>
    <xf numFmtId="172" fontId="8" fillId="0" borderId="0" xfId="529"/>
    <xf numFmtId="172" fontId="7" fillId="0" borderId="0" xfId="529" applyFont="1" applyAlignment="1">
      <alignment horizontal="center" wrapText="1"/>
    </xf>
    <xf numFmtId="172" fontId="7" fillId="0" borderId="0" xfId="529" applyFont="1" applyAlignment="1">
      <alignment wrapText="1"/>
    </xf>
    <xf numFmtId="2" fontId="14" fillId="0" borderId="0" xfId="529" applyNumberFormat="1" applyFont="1"/>
    <xf numFmtId="173" fontId="7" fillId="0" borderId="0" xfId="530" applyNumberFormat="1" applyFont="1" applyFill="1"/>
    <xf numFmtId="1" fontId="7" fillId="0" borderId="0" xfId="529" applyNumberFormat="1" applyFont="1" applyAlignment="1">
      <alignment horizontal="center"/>
    </xf>
    <xf numFmtId="49" fontId="7" fillId="0" borderId="0" xfId="530" applyNumberFormat="1" applyFont="1"/>
    <xf numFmtId="9" fontId="7" fillId="0" borderId="0" xfId="532" applyFont="1" applyFill="1" applyAlignment="1">
      <alignment horizontal="center"/>
    </xf>
    <xf numFmtId="10" fontId="0" fillId="0" borderId="0" xfId="532" applyNumberFormat="1" applyFont="1" applyFill="1"/>
    <xf numFmtId="9" fontId="7" fillId="0" borderId="0" xfId="532" applyFont="1" applyFill="1"/>
    <xf numFmtId="9" fontId="0" fillId="0" borderId="0" xfId="532" applyFont="1" applyFill="1"/>
    <xf numFmtId="10" fontId="7" fillId="0" borderId="0" xfId="532" applyNumberFormat="1" applyFont="1" applyFill="1"/>
    <xf numFmtId="10" fontId="7" fillId="0" borderId="0" xfId="532" applyNumberFormat="1" applyFont="1" applyFill="1" applyAlignment="1">
      <alignment horizontal="center"/>
    </xf>
    <xf numFmtId="199" fontId="0" fillId="0" borderId="0" xfId="530" applyNumberFormat="1" applyFont="1" applyFill="1"/>
    <xf numFmtId="173" fontId="7" fillId="0" borderId="11" xfId="530" applyNumberFormat="1" applyFont="1" applyBorder="1"/>
    <xf numFmtId="172" fontId="8" fillId="0" borderId="0" xfId="529" applyAlignment="1">
      <alignment horizontal="center"/>
    </xf>
    <xf numFmtId="173" fontId="7" fillId="0" borderId="49" xfId="530" applyNumberFormat="1" applyFont="1" applyFill="1" applyBorder="1"/>
    <xf numFmtId="173" fontId="7" fillId="0" borderId="0" xfId="530" applyNumberFormat="1" applyFont="1" applyFill="1" applyBorder="1"/>
    <xf numFmtId="9" fontId="7" fillId="0" borderId="0" xfId="532" applyFont="1" applyFill="1" applyBorder="1" applyAlignment="1">
      <alignment horizontal="center"/>
    </xf>
    <xf numFmtId="1" fontId="14" fillId="0" borderId="0" xfId="529" applyNumberFormat="1" applyFont="1" applyAlignment="1">
      <alignment horizontal="left"/>
    </xf>
    <xf numFmtId="199" fontId="7" fillId="0" borderId="0" xfId="530" applyNumberFormat="1" applyFont="1" applyFill="1"/>
    <xf numFmtId="173" fontId="7" fillId="0" borderId="0" xfId="530" applyNumberFormat="1" applyFont="1" applyBorder="1"/>
    <xf numFmtId="173" fontId="7" fillId="0" borderId="55" xfId="530" applyNumberFormat="1" applyFont="1" applyFill="1" applyBorder="1"/>
    <xf numFmtId="173" fontId="7" fillId="0" borderId="0" xfId="530" applyNumberFormat="1" applyFont="1" applyFill="1" applyBorder="1" applyAlignment="1">
      <alignment horizontal="center"/>
    </xf>
    <xf numFmtId="2" fontId="8" fillId="0" borderId="0" xfId="529" applyNumberFormat="1"/>
    <xf numFmtId="172" fontId="30" fillId="0" borderId="11" xfId="525" quotePrefix="1" applyFont="1" applyBorder="1" applyAlignment="1">
      <alignment horizontal="center" wrapText="1"/>
    </xf>
    <xf numFmtId="173" fontId="29" fillId="35" borderId="34" xfId="372" applyNumberFormat="1" applyFont="1" applyFill="1" applyBorder="1"/>
    <xf numFmtId="41" fontId="29" fillId="32" borderId="34" xfId="249" applyNumberFormat="1" applyFont="1" applyFill="1" applyBorder="1" applyProtection="1">
      <protection locked="0"/>
    </xf>
    <xf numFmtId="41" fontId="29" fillId="32" borderId="0" xfId="249" applyNumberFormat="1" applyFont="1" applyFill="1" applyAlignment="1" applyProtection="1">
      <alignment vertical="center"/>
      <protection locked="0"/>
    </xf>
    <xf numFmtId="49" fontId="29" fillId="0" borderId="0" xfId="523" applyNumberFormat="1" applyFont="1" applyAlignment="1">
      <alignment horizontal="center"/>
    </xf>
    <xf numFmtId="0" fontId="29" fillId="0" borderId="0" xfId="523" applyFont="1"/>
    <xf numFmtId="0" fontId="29" fillId="0" borderId="0" xfId="523" applyFont="1" applyAlignment="1">
      <alignment horizontal="center"/>
    </xf>
    <xf numFmtId="0" fontId="29" fillId="0" borderId="0" xfId="523" applyFont="1" applyAlignment="1">
      <alignment wrapText="1"/>
    </xf>
    <xf numFmtId="0" fontId="29" fillId="0" borderId="0" xfId="523" applyFont="1" applyAlignment="1">
      <alignment horizontal="left"/>
    </xf>
    <xf numFmtId="0" fontId="2" fillId="0" borderId="0" xfId="533"/>
    <xf numFmtId="2" fontId="7" fillId="0" borderId="0" xfId="534" applyNumberFormat="1" applyFont="1"/>
    <xf numFmtId="172" fontId="7" fillId="0" borderId="0" xfId="534" applyFont="1"/>
    <xf numFmtId="172" fontId="10" fillId="0" borderId="0" xfId="534" applyFont="1" applyAlignment="1">
      <alignment horizontal="right"/>
    </xf>
    <xf numFmtId="172" fontId="7" fillId="0" borderId="0" xfId="534" applyFont="1" applyAlignment="1">
      <alignment horizontal="right"/>
    </xf>
    <xf numFmtId="2" fontId="7" fillId="0" borderId="0" xfId="534" applyNumberFormat="1" applyFont="1" applyAlignment="1">
      <alignment horizontal="center"/>
    </xf>
    <xf numFmtId="172" fontId="7" fillId="0" borderId="0" xfId="534" applyFont="1" applyAlignment="1">
      <alignment horizontal="center"/>
    </xf>
    <xf numFmtId="172" fontId="7" fillId="0" borderId="0" xfId="534" applyFont="1" applyAlignment="1">
      <alignment wrapText="1"/>
    </xf>
    <xf numFmtId="172" fontId="7" fillId="0" borderId="0" xfId="534" applyFont="1" applyAlignment="1">
      <alignment horizontal="center" wrapText="1"/>
    </xf>
    <xf numFmtId="172" fontId="8" fillId="0" borderId="0" xfId="534"/>
    <xf numFmtId="2" fontId="14" fillId="0" borderId="0" xfId="534" applyNumberFormat="1" applyFont="1"/>
    <xf numFmtId="1" fontId="7" fillId="0" borderId="0" xfId="534" applyNumberFormat="1" applyFont="1" applyAlignment="1">
      <alignment horizontal="center"/>
    </xf>
    <xf numFmtId="170" fontId="7" fillId="0" borderId="0" xfId="534" applyNumberFormat="1" applyFont="1"/>
    <xf numFmtId="172" fontId="8" fillId="0" borderId="0" xfId="534" applyAlignment="1">
      <alignment horizontal="center"/>
    </xf>
    <xf numFmtId="10" fontId="7" fillId="0" borderId="0" xfId="532" applyNumberFormat="1" applyFont="1" applyFill="1" applyAlignment="1"/>
    <xf numFmtId="10" fontId="7" fillId="0" borderId="0" xfId="532" applyNumberFormat="1" applyFont="1" applyFill="1" applyAlignment="1">
      <alignment horizontal="center" wrapText="1"/>
    </xf>
    <xf numFmtId="9" fontId="7" fillId="0" borderId="0" xfId="530" applyNumberFormat="1" applyFont="1" applyFill="1" applyAlignment="1">
      <alignment horizontal="center"/>
    </xf>
    <xf numFmtId="43" fontId="7" fillId="0" borderId="0" xfId="530" applyFont="1" applyFill="1"/>
    <xf numFmtId="9" fontId="7" fillId="0" borderId="0" xfId="530" applyNumberFormat="1" applyFont="1" applyFill="1" applyBorder="1" applyAlignment="1">
      <alignment horizontal="center"/>
    </xf>
    <xf numFmtId="10" fontId="7" fillId="0" borderId="0" xfId="532" applyNumberFormat="1" applyFont="1"/>
    <xf numFmtId="1" fontId="14" fillId="0" borderId="0" xfId="534" applyNumberFormat="1" applyFont="1" applyAlignment="1">
      <alignment horizontal="left"/>
    </xf>
    <xf numFmtId="43" fontId="7" fillId="0" borderId="0" xfId="530" applyFont="1"/>
    <xf numFmtId="10" fontId="7" fillId="0" borderId="0" xfId="530" applyNumberFormat="1" applyFont="1" applyFill="1" applyBorder="1" applyAlignment="1">
      <alignment horizontal="center"/>
    </xf>
    <xf numFmtId="2" fontId="8" fillId="0" borderId="0" xfId="534" applyNumberFormat="1"/>
    <xf numFmtId="9" fontId="7" fillId="0" borderId="0" xfId="532" applyFont="1"/>
    <xf numFmtId="2" fontId="7" fillId="0" borderId="0" xfId="534" applyNumberFormat="1" applyFont="1" applyAlignment="1">
      <alignment horizontal="left" wrapText="1"/>
    </xf>
    <xf numFmtId="170" fontId="2" fillId="0" borderId="0" xfId="533" applyNumberFormat="1"/>
    <xf numFmtId="170" fontId="7" fillId="0" borderId="0" xfId="534" applyNumberFormat="1" applyFont="1" applyAlignment="1">
      <alignment horizontal="center"/>
    </xf>
    <xf numFmtId="170" fontId="7" fillId="0" borderId="0" xfId="534" applyNumberFormat="1" applyFont="1" applyAlignment="1">
      <alignment horizontal="center" wrapText="1"/>
    </xf>
    <xf numFmtId="170" fontId="7" fillId="0" borderId="0" xfId="530" applyNumberFormat="1" applyFont="1"/>
    <xf numFmtId="170" fontId="7" fillId="0" borderId="49" xfId="530" applyNumberFormat="1" applyFont="1" applyBorder="1"/>
    <xf numFmtId="170" fontId="7" fillId="0" borderId="0" xfId="530" applyNumberFormat="1" applyFont="1" applyBorder="1"/>
    <xf numFmtId="170" fontId="8" fillId="0" borderId="0" xfId="534" applyNumberFormat="1"/>
    <xf numFmtId="200" fontId="2" fillId="0" borderId="0" xfId="536" applyNumberFormat="1" applyFont="1"/>
    <xf numFmtId="177" fontId="2" fillId="0" borderId="0" xfId="535" applyNumberFormat="1" applyFont="1"/>
    <xf numFmtId="173" fontId="2" fillId="0" borderId="0" xfId="535" applyNumberFormat="1" applyFont="1"/>
    <xf numFmtId="200" fontId="2" fillId="0" borderId="11" xfId="536" applyNumberFormat="1" applyFont="1" applyBorder="1"/>
    <xf numFmtId="177" fontId="7" fillId="0" borderId="0" xfId="532" applyNumberFormat="1" applyFont="1" applyFill="1"/>
    <xf numFmtId="173" fontId="7" fillId="0" borderId="0" xfId="532" applyNumberFormat="1" applyFont="1" applyFill="1"/>
    <xf numFmtId="10" fontId="24" fillId="32" borderId="0" xfId="0" applyNumberFormat="1" applyFont="1" applyFill="1" applyProtection="1">
      <protection locked="0"/>
    </xf>
    <xf numFmtId="10" fontId="24" fillId="32" borderId="11" xfId="0" applyNumberFormat="1" applyFont="1" applyFill="1" applyBorder="1" applyProtection="1">
      <protection locked="0"/>
    </xf>
    <xf numFmtId="43" fontId="17" fillId="0" borderId="0" xfId="260" applyNumberFormat="1" applyFont="1"/>
    <xf numFmtId="173" fontId="7" fillId="0" borderId="0" xfId="86" applyNumberFormat="1" applyFont="1" applyFill="1"/>
    <xf numFmtId="0" fontId="8" fillId="0" borderId="0" xfId="261" applyAlignment="1">
      <alignment horizontal="left"/>
    </xf>
    <xf numFmtId="192" fontId="8" fillId="0" borderId="0" xfId="261" applyNumberFormat="1"/>
    <xf numFmtId="10" fontId="0" fillId="0" borderId="16" xfId="0" applyNumberFormat="1" applyBorder="1"/>
    <xf numFmtId="176" fontId="0" fillId="0" borderId="0" xfId="0" quotePrefix="1" applyNumberFormat="1" applyAlignment="1">
      <alignment horizontal="left"/>
    </xf>
    <xf numFmtId="176" fontId="0" fillId="0" borderId="0" xfId="0" applyNumberFormat="1"/>
    <xf numFmtId="176" fontId="0" fillId="0" borderId="0" xfId="0" quotePrefix="1" applyNumberFormat="1" applyAlignment="1">
      <alignment horizontal="right"/>
    </xf>
    <xf numFmtId="0" fontId="120" fillId="0" borderId="0" xfId="0" applyFont="1" applyAlignment="1" applyProtection="1">
      <alignment horizontal="right"/>
      <protection locked="0"/>
    </xf>
    <xf numFmtId="0" fontId="120" fillId="0" borderId="0" xfId="0" applyFont="1" applyProtection="1">
      <protection locked="0"/>
    </xf>
    <xf numFmtId="10" fontId="121" fillId="0" borderId="0" xfId="0" applyNumberFormat="1" applyFont="1"/>
    <xf numFmtId="0" fontId="121" fillId="0" borderId="0" xfId="0" applyFont="1"/>
    <xf numFmtId="0" fontId="121" fillId="0" borderId="0" xfId="0" applyFont="1" applyAlignment="1">
      <alignment horizontal="right"/>
    </xf>
    <xf numFmtId="0" fontId="47" fillId="0" borderId="0" xfId="0" applyFont="1"/>
    <xf numFmtId="201" fontId="0" fillId="0" borderId="0" xfId="0" applyNumberFormat="1" applyAlignment="1">
      <alignment horizontal="centerContinuous"/>
    </xf>
    <xf numFmtId="0" fontId="0" fillId="0" borderId="0" xfId="0" applyAlignment="1">
      <alignment horizontal="centerContinuous"/>
    </xf>
    <xf numFmtId="41" fontId="13" fillId="32" borderId="0" xfId="250" applyNumberFormat="1" applyFont="1" applyFill="1" applyProtection="1">
      <protection locked="0"/>
    </xf>
    <xf numFmtId="37" fontId="7" fillId="0" borderId="0" xfId="404" applyNumberFormat="1"/>
    <xf numFmtId="41" fontId="13" fillId="33" borderId="0" xfId="249" applyNumberFormat="1" applyFont="1" applyFill="1" applyProtection="1">
      <protection locked="0"/>
    </xf>
    <xf numFmtId="0" fontId="7" fillId="0" borderId="0" xfId="448" applyAlignment="1">
      <alignment horizontal="center"/>
    </xf>
    <xf numFmtId="38" fontId="7" fillId="0" borderId="0" xfId="0" applyNumberFormat="1" applyFont="1"/>
    <xf numFmtId="3" fontId="7" fillId="0" borderId="0" xfId="448" applyNumberFormat="1"/>
    <xf numFmtId="37" fontId="7" fillId="30" borderId="0" xfId="0" applyNumberFormat="1" applyFont="1" applyFill="1" applyProtection="1">
      <protection locked="0"/>
    </xf>
    <xf numFmtId="3" fontId="29" fillId="0" borderId="11" xfId="448" applyNumberFormat="1" applyFont="1" applyBorder="1" applyAlignment="1">
      <alignment horizontal="center" wrapText="1"/>
    </xf>
    <xf numFmtId="3" fontId="29" fillId="0" borderId="37" xfId="448" applyNumberFormat="1" applyFont="1" applyBorder="1" applyAlignment="1">
      <alignment horizontal="center" wrapText="1"/>
    </xf>
    <xf numFmtId="173" fontId="7" fillId="30" borderId="33" xfId="346" applyNumberFormat="1" applyFont="1" applyFill="1" applyBorder="1" applyAlignment="1">
      <alignment horizontal="right"/>
    </xf>
    <xf numFmtId="173" fontId="7" fillId="0" borderId="55" xfId="346" applyNumberFormat="1" applyFont="1" applyBorder="1"/>
    <xf numFmtId="173" fontId="7" fillId="0" borderId="31" xfId="346" applyNumberFormat="1" applyFont="1" applyBorder="1"/>
    <xf numFmtId="0" fontId="7" fillId="0" borderId="58" xfId="0" applyFont="1" applyBorder="1"/>
    <xf numFmtId="0" fontId="7" fillId="0" borderId="57" xfId="0" applyFont="1" applyBorder="1"/>
    <xf numFmtId="3" fontId="7" fillId="0" borderId="11" xfId="448" applyNumberFormat="1" applyBorder="1" applyAlignment="1">
      <alignment horizontal="center" wrapText="1"/>
    </xf>
    <xf numFmtId="3" fontId="7" fillId="0" borderId="37" xfId="448" applyNumberFormat="1" applyBorder="1" applyAlignment="1">
      <alignment horizontal="center" wrapText="1"/>
    </xf>
    <xf numFmtId="173" fontId="7" fillId="30" borderId="0" xfId="346" applyNumberFormat="1" applyFont="1" applyFill="1" applyBorder="1" applyAlignment="1">
      <alignment horizontal="right"/>
    </xf>
    <xf numFmtId="173" fontId="7" fillId="30" borderId="57" xfId="346" applyNumberFormat="1" applyFont="1" applyFill="1" applyBorder="1" applyAlignment="1">
      <alignment horizontal="right"/>
    </xf>
    <xf numFmtId="173" fontId="163" fillId="30" borderId="0" xfId="346" applyNumberFormat="1" applyFont="1" applyFill="1" applyBorder="1" applyAlignment="1">
      <alignment horizontal="right"/>
    </xf>
    <xf numFmtId="173" fontId="163" fillId="30" borderId="33" xfId="346" applyNumberFormat="1" applyFont="1" applyFill="1" applyBorder="1" applyAlignment="1">
      <alignment horizontal="right"/>
    </xf>
    <xf numFmtId="173" fontId="163" fillId="30" borderId="37" xfId="346" applyNumberFormat="1" applyFont="1" applyFill="1" applyBorder="1" applyAlignment="1">
      <alignment horizontal="right"/>
    </xf>
    <xf numFmtId="173" fontId="163" fillId="0" borderId="55" xfId="346" applyNumberFormat="1" applyFont="1" applyBorder="1"/>
    <xf numFmtId="173" fontId="163" fillId="0" borderId="31" xfId="346" applyNumberFormat="1" applyFont="1" applyBorder="1"/>
    <xf numFmtId="0" fontId="7" fillId="0" borderId="51" xfId="0" applyFont="1" applyBorder="1"/>
    <xf numFmtId="3" fontId="7" fillId="0" borderId="35" xfId="448" applyNumberFormat="1" applyBorder="1" applyAlignment="1">
      <alignment horizontal="center" wrapText="1"/>
    </xf>
    <xf numFmtId="173" fontId="13" fillId="32" borderId="0" xfId="346" applyNumberFormat="1" applyFont="1" applyFill="1" applyBorder="1" applyAlignment="1">
      <alignment horizontal="right"/>
    </xf>
    <xf numFmtId="173" fontId="13" fillId="32" borderId="58" xfId="346" applyNumberFormat="1" applyFont="1" applyFill="1" applyBorder="1" applyAlignment="1">
      <alignment horizontal="right"/>
    </xf>
    <xf numFmtId="0" fontId="14" fillId="0" borderId="0" xfId="248" applyFont="1" applyAlignment="1">
      <alignment horizontal="center" wrapText="1"/>
    </xf>
    <xf numFmtId="173" fontId="10" fillId="0" borderId="0" xfId="86" applyNumberFormat="1" applyFont="1" applyFill="1" applyBorder="1" applyAlignment="1" applyProtection="1"/>
    <xf numFmtId="3" fontId="10" fillId="30" borderId="0" xfId="259" applyNumberFormat="1" applyFont="1" applyFill="1" applyProtection="1">
      <protection locked="0"/>
    </xf>
    <xf numFmtId="41" fontId="10" fillId="30" borderId="0" xfId="259" applyNumberFormat="1" applyFont="1" applyFill="1" applyProtection="1">
      <protection locked="0"/>
    </xf>
    <xf numFmtId="41" fontId="102" fillId="0" borderId="0" xfId="259" applyNumberFormat="1" applyFont="1" applyAlignment="1" applyProtection="1">
      <alignment horizontal="right"/>
    </xf>
    <xf numFmtId="0" fontId="29" fillId="0" borderId="0" xfId="531" applyFont="1"/>
    <xf numFmtId="41" fontId="29" fillId="0" borderId="0" xfId="523" applyNumberFormat="1" applyFont="1" applyAlignment="1">
      <alignment horizontal="center"/>
    </xf>
    <xf numFmtId="0" fontId="30" fillId="0" borderId="0" xfId="523" applyFont="1"/>
    <xf numFmtId="173" fontId="29" fillId="35" borderId="52" xfId="537" applyNumberFormat="1" applyFont="1" applyFill="1" applyBorder="1"/>
    <xf numFmtId="41" fontId="29" fillId="32" borderId="52" xfId="251" applyNumberFormat="1" applyFont="1" applyFill="1" applyBorder="1" applyProtection="1">
      <protection locked="0"/>
    </xf>
    <xf numFmtId="173" fontId="29" fillId="35" borderId="53" xfId="537" applyNumberFormat="1" applyFont="1" applyFill="1" applyBorder="1"/>
    <xf numFmtId="173" fontId="29" fillId="0" borderId="53" xfId="537" applyNumberFormat="1" applyFont="1" applyFill="1" applyBorder="1"/>
    <xf numFmtId="49" fontId="7" fillId="0" borderId="0" xfId="531" applyNumberFormat="1" applyFont="1" applyAlignment="1">
      <alignment horizontal="center"/>
    </xf>
    <xf numFmtId="173" fontId="29" fillId="0" borderId="0" xfId="538" applyNumberFormat="1" applyFont="1" applyBorder="1" applyAlignment="1">
      <alignment horizontal="center"/>
    </xf>
    <xf numFmtId="0" fontId="30" fillId="0" borderId="0" xfId="531" applyFont="1"/>
    <xf numFmtId="0" fontId="176" fillId="0" borderId="0" xfId="531" applyFont="1"/>
    <xf numFmtId="173" fontId="29" fillId="37" borderId="53" xfId="537" applyNumberFormat="1" applyFont="1" applyFill="1" applyBorder="1"/>
    <xf numFmtId="41" fontId="29" fillId="0" borderId="52" xfId="539" applyNumberFormat="1" applyFont="1" applyBorder="1"/>
    <xf numFmtId="41" fontId="29" fillId="32" borderId="34" xfId="251" applyNumberFormat="1" applyFont="1" applyFill="1" applyBorder="1" applyAlignment="1" applyProtection="1">
      <alignment vertical="top"/>
      <protection locked="0"/>
    </xf>
    <xf numFmtId="49" fontId="29" fillId="0" borderId="0" xfId="531" applyNumberFormat="1" applyFont="1" applyAlignment="1">
      <alignment horizontal="center"/>
    </xf>
    <xf numFmtId="41" fontId="29" fillId="0" borderId="0" xfId="531" applyNumberFormat="1" applyFont="1" applyAlignment="1">
      <alignment horizontal="center"/>
    </xf>
    <xf numFmtId="173" fontId="29" fillId="31" borderId="52" xfId="537" applyNumberFormat="1" applyFont="1" applyFill="1" applyBorder="1"/>
    <xf numFmtId="37" fontId="29" fillId="0" borderId="52" xfId="539" applyNumberFormat="1" applyFont="1" applyBorder="1"/>
    <xf numFmtId="0" fontId="10" fillId="0" borderId="0" xfId="0" applyFont="1" applyAlignment="1">
      <alignment horizontal="left" vertical="top" wrapText="1"/>
    </xf>
    <xf numFmtId="172" fontId="11" fillId="0" borderId="11" xfId="259" applyFont="1" applyBorder="1" applyAlignment="1" applyProtection="1">
      <alignment horizontal="center"/>
    </xf>
    <xf numFmtId="172" fontId="144" fillId="0" borderId="0" xfId="259" applyFont="1" applyAlignment="1" applyProtection="1">
      <alignment vertical="top" wrapText="1"/>
    </xf>
    <xf numFmtId="0" fontId="139" fillId="0" borderId="0" xfId="0" applyFont="1" applyAlignment="1">
      <alignment vertical="top" wrapText="1"/>
    </xf>
    <xf numFmtId="172" fontId="31" fillId="0" borderId="0" xfId="259" applyFont="1" applyAlignment="1" applyProtection="1">
      <alignment wrapText="1"/>
    </xf>
    <xf numFmtId="172" fontId="10" fillId="0" borderId="0" xfId="259" applyFont="1" applyAlignment="1" applyProtection="1">
      <alignment vertical="top" wrapText="1"/>
    </xf>
    <xf numFmtId="0" fontId="10" fillId="0" borderId="0" xfId="0" applyFont="1" applyAlignment="1">
      <alignment vertical="top" wrapText="1"/>
    </xf>
    <xf numFmtId="0" fontId="10" fillId="0" borderId="0" xfId="0" applyFont="1" applyAlignment="1">
      <alignment wrapText="1"/>
    </xf>
    <xf numFmtId="172" fontId="123" fillId="0" borderId="0" xfId="259" applyFont="1" applyAlignment="1" applyProtection="1">
      <alignment wrapText="1"/>
    </xf>
    <xf numFmtId="0" fontId="17" fillId="0" borderId="0" xfId="0" applyFont="1" applyAlignment="1">
      <alignment wrapText="1"/>
    </xf>
    <xf numFmtId="0" fontId="37" fillId="0" borderId="0" xfId="0" applyFont="1" applyAlignment="1">
      <alignment wrapText="1"/>
    </xf>
    <xf numFmtId="0" fontId="31" fillId="0" borderId="0" xfId="259" applyNumberFormat="1" applyFont="1" applyAlignment="1" applyProtection="1">
      <alignment horizontal="left" wrapText="1"/>
    </xf>
    <xf numFmtId="3" fontId="10" fillId="0" borderId="0" xfId="259" applyNumberFormat="1" applyFont="1" applyAlignment="1" applyProtection="1">
      <alignment horizontal="left" wrapText="1"/>
    </xf>
    <xf numFmtId="0" fontId="17" fillId="0" borderId="0" xfId="0" applyFont="1" applyAlignment="1">
      <alignment horizontal="left" wrapText="1"/>
    </xf>
    <xf numFmtId="3" fontId="170" fillId="0" borderId="0" xfId="259" applyNumberFormat="1" applyFont="1" applyAlignment="1" applyProtection="1">
      <alignment horizontal="center"/>
    </xf>
    <xf numFmtId="172" fontId="10" fillId="0" borderId="0" xfId="259" applyFont="1" applyAlignment="1" applyProtection="1">
      <alignment horizontal="left" wrapText="1"/>
    </xf>
    <xf numFmtId="0" fontId="10" fillId="0" borderId="0" xfId="259" applyNumberFormat="1" applyFont="1" applyAlignment="1" applyProtection="1">
      <alignment horizontal="left" wrapText="1"/>
    </xf>
    <xf numFmtId="0" fontId="10" fillId="0" borderId="0" xfId="259" applyNumberFormat="1" applyFont="1" applyAlignment="1" applyProtection="1">
      <alignment horizontal="left" vertical="top" wrapText="1"/>
    </xf>
    <xf numFmtId="172" fontId="31" fillId="0" borderId="0" xfId="259" applyFont="1" applyAlignment="1" applyProtection="1">
      <alignment vertical="top" wrapText="1"/>
    </xf>
    <xf numFmtId="0" fontId="31" fillId="0" borderId="0" xfId="0" applyFont="1" applyAlignment="1">
      <alignment vertical="top" wrapText="1"/>
    </xf>
    <xf numFmtId="172" fontId="10" fillId="0" borderId="0" xfId="259" applyFont="1" applyAlignment="1" applyProtection="1">
      <alignment horizontal="left"/>
    </xf>
    <xf numFmtId="172" fontId="81" fillId="0" borderId="0" xfId="259" applyFont="1" applyAlignment="1" applyProtection="1">
      <alignment horizontal="left" wrapText="1"/>
    </xf>
    <xf numFmtId="49" fontId="10" fillId="0" borderId="0" xfId="259" applyNumberFormat="1" applyFont="1" applyAlignment="1" applyProtection="1">
      <alignment horizontal="center"/>
    </xf>
    <xf numFmtId="0" fontId="37" fillId="0" borderId="0" xfId="0" applyFont="1" applyAlignment="1">
      <alignment horizontal="center"/>
    </xf>
    <xf numFmtId="0" fontId="15" fillId="0" borderId="0" xfId="259" applyNumberFormat="1" applyFont="1" applyAlignment="1" applyProtection="1">
      <alignment horizontal="center"/>
    </xf>
    <xf numFmtId="0" fontId="18" fillId="0" borderId="0" xfId="0" applyFont="1"/>
    <xf numFmtId="0" fontId="0" fillId="0" borderId="0" xfId="0" applyAlignment="1">
      <alignment horizontal="center"/>
    </xf>
    <xf numFmtId="0" fontId="14" fillId="0" borderId="53" xfId="189" applyFont="1" applyBorder="1" applyAlignment="1">
      <alignment horizontal="center"/>
    </xf>
    <xf numFmtId="0" fontId="14" fillId="0" borderId="49" xfId="189" applyFont="1" applyBorder="1" applyAlignment="1">
      <alignment horizontal="center"/>
    </xf>
    <xf numFmtId="0" fontId="14" fillId="0" borderId="54" xfId="189" applyFont="1" applyBorder="1" applyAlignment="1">
      <alignment horizontal="center"/>
    </xf>
    <xf numFmtId="0" fontId="10" fillId="0" borderId="0" xfId="0" applyFont="1" applyAlignment="1">
      <alignment horizontal="center"/>
    </xf>
    <xf numFmtId="0" fontId="10" fillId="0" borderId="0" xfId="211" applyFont="1" applyAlignment="1">
      <alignment horizontal="center"/>
    </xf>
    <xf numFmtId="3" fontId="10" fillId="0" borderId="0" xfId="211" applyNumberFormat="1" applyFont="1" applyAlignment="1">
      <alignment horizontal="center"/>
    </xf>
    <xf numFmtId="0" fontId="14" fillId="0" borderId="53" xfId="262" applyFont="1" applyBorder="1" applyAlignment="1">
      <alignment horizontal="center" wrapText="1"/>
    </xf>
    <xf numFmtId="0" fontId="14" fillId="0" borderId="49" xfId="262" applyFont="1" applyBorder="1" applyAlignment="1">
      <alignment horizontal="center" wrapText="1"/>
    </xf>
    <xf numFmtId="0" fontId="14" fillId="0" borderId="54" xfId="262" applyFont="1" applyBorder="1" applyAlignment="1">
      <alignment horizontal="center" wrapText="1"/>
    </xf>
    <xf numFmtId="0" fontId="17" fillId="0" borderId="0" xfId="211" applyAlignment="1">
      <alignment horizontal="left" wrapText="1"/>
    </xf>
    <xf numFmtId="0" fontId="22" fillId="0" borderId="0" xfId="249" applyFont="1" applyAlignment="1">
      <alignment horizontal="center" wrapText="1"/>
    </xf>
    <xf numFmtId="0" fontId="18" fillId="0" borderId="0" xfId="0" applyFont="1" applyAlignment="1">
      <alignment horizontal="center" wrapText="1"/>
    </xf>
    <xf numFmtId="3" fontId="10" fillId="0" borderId="0" xfId="0" applyNumberFormat="1" applyFont="1" applyAlignment="1">
      <alignment horizontal="center"/>
    </xf>
    <xf numFmtId="0" fontId="22" fillId="0" borderId="0" xfId="211" quotePrefix="1" applyFont="1" applyAlignment="1">
      <alignment horizontal="center" wrapText="1"/>
    </xf>
    <xf numFmtId="41" fontId="29" fillId="32" borderId="34" xfId="249" applyNumberFormat="1" applyFont="1" applyFill="1" applyBorder="1" applyAlignment="1" applyProtection="1">
      <alignment vertical="center"/>
      <protection locked="0"/>
    </xf>
    <xf numFmtId="172" fontId="29" fillId="0" borderId="0" xfId="525" applyFont="1" applyAlignment="1">
      <alignment horizontal="center" wrapText="1"/>
    </xf>
    <xf numFmtId="172" fontId="29" fillId="0" borderId="11" xfId="525" applyFont="1" applyBorder="1" applyAlignment="1">
      <alignment horizontal="center"/>
    </xf>
    <xf numFmtId="0" fontId="29" fillId="0" borderId="11" xfId="0" applyFont="1" applyBorder="1" applyAlignment="1">
      <alignment horizontal="center"/>
    </xf>
    <xf numFmtId="172" fontId="29" fillId="0" borderId="11" xfId="525" applyFont="1" applyBorder="1" applyAlignment="1">
      <alignment horizontal="center" wrapText="1"/>
    </xf>
    <xf numFmtId="172" fontId="30" fillId="0" borderId="0" xfId="525" applyFont="1" applyAlignment="1">
      <alignment horizontal="center" wrapText="1"/>
    </xf>
    <xf numFmtId="41" fontId="29" fillId="32" borderId="34" xfId="249" applyNumberFormat="1" applyFont="1" applyFill="1" applyBorder="1" applyAlignment="1" applyProtection="1">
      <alignment horizontal="left" vertical="center" wrapText="1"/>
      <protection locked="0"/>
    </xf>
    <xf numFmtId="172" fontId="29" fillId="0" borderId="0" xfId="525" applyFont="1" applyAlignment="1">
      <alignment horizontal="left" wrapText="1"/>
    </xf>
    <xf numFmtId="172" fontId="29" fillId="0" borderId="0" xfId="525" applyFont="1" applyAlignment="1">
      <alignment horizontal="left" vertical="top" wrapText="1"/>
    </xf>
    <xf numFmtId="2" fontId="7" fillId="0" borderId="0" xfId="529" applyNumberFormat="1" applyFont="1" applyAlignment="1">
      <alignment horizontal="left" wrapText="1"/>
    </xf>
    <xf numFmtId="41" fontId="14" fillId="0" borderId="11" xfId="249" applyNumberFormat="1" applyFont="1" applyBorder="1" applyAlignment="1" applyProtection="1">
      <alignment horizontal="center"/>
      <protection locked="0"/>
    </xf>
    <xf numFmtId="172" fontId="7" fillId="0" borderId="0" xfId="529" applyFont="1" applyAlignment="1">
      <alignment horizontal="center" wrapText="1"/>
    </xf>
    <xf numFmtId="172" fontId="7" fillId="0" borderId="0" xfId="529" applyFont="1" applyAlignment="1">
      <alignment horizontal="left" wrapText="1"/>
    </xf>
    <xf numFmtId="2" fontId="7" fillId="0" borderId="0" xfId="534" applyNumberFormat="1" applyFont="1" applyAlignment="1">
      <alignment horizontal="left" wrapText="1"/>
    </xf>
    <xf numFmtId="172" fontId="7" fillId="0" borderId="0" xfId="534" applyFont="1" applyAlignment="1">
      <alignment horizontal="center" wrapText="1"/>
    </xf>
    <xf numFmtId="172" fontId="7" fillId="0" borderId="0" xfId="534" applyFont="1" applyAlignment="1">
      <alignment horizontal="left" wrapText="1"/>
    </xf>
    <xf numFmtId="172" fontId="7" fillId="0" borderId="0" xfId="534" applyFont="1" applyAlignment="1">
      <alignment horizontal="left" vertical="top" wrapText="1"/>
    </xf>
    <xf numFmtId="0" fontId="85" fillId="0" borderId="0" xfId="211" applyFont="1" applyAlignment="1">
      <alignment horizontal="center"/>
    </xf>
    <xf numFmtId="0" fontId="85" fillId="0" borderId="0" xfId="249" applyFont="1" applyAlignment="1">
      <alignment horizontal="center"/>
    </xf>
    <xf numFmtId="0" fontId="85" fillId="0" borderId="0" xfId="0" applyFont="1" applyAlignment="1">
      <alignment horizontal="center"/>
    </xf>
    <xf numFmtId="172" fontId="17" fillId="0" borderId="0" xfId="259" applyFont="1" applyAlignment="1" applyProtection="1">
      <alignment horizontal="left" vertical="top" wrapText="1"/>
    </xf>
    <xf numFmtId="0" fontId="14" fillId="0" borderId="0" xfId="263" applyFont="1" applyAlignment="1">
      <alignment wrapText="1"/>
    </xf>
    <xf numFmtId="3" fontId="9" fillId="0" borderId="0" xfId="0" applyNumberFormat="1" applyFont="1" applyAlignment="1">
      <alignment horizontal="center"/>
    </xf>
    <xf numFmtId="0" fontId="15" fillId="0" borderId="0" xfId="263" applyFont="1" applyAlignment="1">
      <alignment horizontal="center"/>
    </xf>
    <xf numFmtId="0" fontId="17" fillId="0" borderId="0" xfId="0" applyFont="1" applyAlignment="1">
      <alignment vertical="top" wrapText="1"/>
    </xf>
    <xf numFmtId="0" fontId="79" fillId="0" borderId="11" xfId="260" applyFont="1" applyBorder="1" applyAlignment="1">
      <alignment horizontal="center"/>
    </xf>
    <xf numFmtId="0" fontId="76" fillId="0" borderId="0" xfId="260" applyFont="1" applyAlignment="1">
      <alignment horizontal="left" wrapText="1"/>
    </xf>
    <xf numFmtId="0" fontId="76" fillId="0" borderId="0" xfId="260" applyFont="1" applyAlignment="1">
      <alignment wrapText="1"/>
    </xf>
    <xf numFmtId="0" fontId="9" fillId="0" borderId="0" xfId="211" applyFont="1" applyAlignment="1">
      <alignment horizontal="center"/>
    </xf>
    <xf numFmtId="0" fontId="9" fillId="0" borderId="0" xfId="0" applyFont="1" applyAlignment="1">
      <alignment horizontal="center"/>
    </xf>
    <xf numFmtId="0" fontId="74" fillId="32" borderId="0" xfId="0" applyFont="1" applyFill="1" applyAlignment="1" applyProtection="1">
      <alignment horizontal="left"/>
      <protection locked="0"/>
    </xf>
    <xf numFmtId="173" fontId="104" fillId="0" borderId="0" xfId="88" applyNumberFormat="1" applyFont="1" applyBorder="1" applyAlignment="1" applyProtection="1">
      <alignment horizontal="center"/>
    </xf>
    <xf numFmtId="0" fontId="0" fillId="0" borderId="0" xfId="0" applyAlignment="1">
      <alignment horizontal="left" wrapText="1"/>
    </xf>
    <xf numFmtId="172" fontId="7" fillId="0" borderId="21" xfId="259" applyFont="1" applyBorder="1" applyAlignment="1" applyProtection="1">
      <alignment wrapText="1"/>
    </xf>
    <xf numFmtId="0" fontId="7" fillId="0" borderId="15" xfId="0" applyFont="1" applyBorder="1" applyAlignment="1">
      <alignment wrapText="1"/>
    </xf>
    <xf numFmtId="0" fontId="7" fillId="0" borderId="25" xfId="0" applyFont="1" applyBorder="1" applyAlignment="1">
      <alignment wrapText="1"/>
    </xf>
    <xf numFmtId="0" fontId="7" fillId="0" borderId="17" xfId="0" applyFont="1" applyBorder="1" applyAlignment="1">
      <alignment wrapText="1"/>
    </xf>
    <xf numFmtId="0" fontId="7" fillId="0" borderId="0" xfId="0" applyFont="1" applyAlignment="1">
      <alignment wrapText="1"/>
    </xf>
    <xf numFmtId="0" fontId="7" fillId="0" borderId="18" xfId="0" applyFont="1" applyBorder="1" applyAlignment="1">
      <alignment wrapText="1"/>
    </xf>
    <xf numFmtId="0" fontId="9" fillId="0" borderId="0" xfId="0" applyFont="1" applyAlignment="1">
      <alignment wrapText="1"/>
    </xf>
    <xf numFmtId="0" fontId="0" fillId="0" borderId="0" xfId="0" applyAlignment="1">
      <alignment wrapText="1"/>
    </xf>
    <xf numFmtId="173" fontId="104" fillId="0" borderId="0" xfId="86" applyNumberFormat="1" applyFont="1" applyBorder="1" applyAlignment="1" applyProtection="1">
      <alignment horizontal="center"/>
    </xf>
    <xf numFmtId="0" fontId="17" fillId="0" borderId="0" xfId="252" applyAlignment="1">
      <alignment horizontal="left" wrapText="1"/>
    </xf>
    <xf numFmtId="0" fontId="17" fillId="0" borderId="0" xfId="183" applyAlignment="1">
      <alignment wrapText="1"/>
    </xf>
    <xf numFmtId="0" fontId="97" fillId="0" borderId="0" xfId="252" applyFont="1" applyAlignment="1">
      <alignment horizontal="left" wrapText="1"/>
    </xf>
    <xf numFmtId="0" fontId="68" fillId="0" borderId="0" xfId="0" applyFont="1" applyAlignment="1">
      <alignment vertical="top" wrapText="1"/>
    </xf>
    <xf numFmtId="41" fontId="14" fillId="0" borderId="0" xfId="252" applyNumberFormat="1" applyFont="1" applyAlignment="1">
      <alignment horizontal="center" wrapText="1"/>
    </xf>
    <xf numFmtId="0" fontId="14" fillId="0" borderId="47" xfId="262" applyFont="1" applyBorder="1" applyAlignment="1">
      <alignment horizontal="center" wrapText="1"/>
    </xf>
    <xf numFmtId="0" fontId="14" fillId="0" borderId="13" xfId="262" applyFont="1" applyBorder="1" applyAlignment="1">
      <alignment horizontal="center" wrapText="1"/>
    </xf>
    <xf numFmtId="0" fontId="14" fillId="0" borderId="48" xfId="262" applyFont="1" applyBorder="1" applyAlignment="1">
      <alignment horizontal="center" wrapText="1"/>
    </xf>
    <xf numFmtId="0" fontId="14" fillId="0" borderId="47" xfId="0" applyFont="1" applyBorder="1" applyAlignment="1">
      <alignment horizontal="center"/>
    </xf>
    <xf numFmtId="0" fontId="14" fillId="0" borderId="13" xfId="0" applyFont="1" applyBorder="1" applyAlignment="1">
      <alignment horizontal="center"/>
    </xf>
    <xf numFmtId="0" fontId="14" fillId="0" borderId="48" xfId="0" applyFont="1" applyBorder="1" applyAlignment="1">
      <alignment horizontal="center"/>
    </xf>
    <xf numFmtId="0" fontId="14" fillId="0" borderId="0" xfId="0" applyFont="1" applyAlignment="1">
      <alignment horizontal="center" wrapText="1"/>
    </xf>
    <xf numFmtId="0" fontId="14" fillId="0" borderId="0" xfId="0" applyFont="1" applyAlignment="1">
      <alignment horizontal="left" wrapText="1"/>
    </xf>
    <xf numFmtId="0" fontId="103" fillId="0" borderId="0" xfId="0" applyFont="1" applyAlignment="1">
      <alignment horizontal="center" wrapText="1"/>
    </xf>
    <xf numFmtId="0" fontId="25" fillId="32" borderId="0" xfId="0" applyFont="1" applyFill="1" applyAlignment="1" applyProtection="1">
      <alignment wrapText="1"/>
      <protection locked="0"/>
    </xf>
    <xf numFmtId="0" fontId="149" fillId="0" borderId="0" xfId="0" applyFont="1" applyAlignment="1">
      <alignment wrapText="1"/>
    </xf>
    <xf numFmtId="0" fontId="149" fillId="0" borderId="0" xfId="0" applyFont="1" applyAlignment="1">
      <alignment horizontal="left" wrapText="1"/>
    </xf>
    <xf numFmtId="0" fontId="151" fillId="0" borderId="0" xfId="0" applyFont="1" applyAlignment="1">
      <alignment horizontal="center"/>
    </xf>
    <xf numFmtId="0" fontId="151" fillId="0" borderId="0" xfId="0" applyFont="1" applyAlignment="1">
      <alignment horizontal="center" wrapText="1"/>
    </xf>
    <xf numFmtId="173" fontId="151" fillId="0" borderId="0" xfId="111" applyNumberFormat="1" applyFont="1" applyAlignment="1">
      <alignment horizontal="center" wrapText="1"/>
    </xf>
    <xf numFmtId="0" fontId="157" fillId="0" borderId="0" xfId="0" applyFont="1" applyAlignment="1">
      <alignment horizontal="left" wrapText="1"/>
    </xf>
    <xf numFmtId="0" fontId="144" fillId="0" borderId="0" xfId="0" applyFont="1" applyAlignment="1">
      <alignment horizontal="center"/>
    </xf>
    <xf numFmtId="0" fontId="144" fillId="0" borderId="0" xfId="211" applyFont="1" applyAlignment="1">
      <alignment horizontal="center"/>
    </xf>
    <xf numFmtId="0" fontId="149" fillId="0" borderId="0" xfId="0" applyFont="1" applyAlignment="1">
      <alignment horizontal="center"/>
    </xf>
    <xf numFmtId="3" fontId="144" fillId="0" borderId="0" xfId="0" applyNumberFormat="1" applyFont="1" applyAlignment="1">
      <alignment horizontal="center"/>
    </xf>
    <xf numFmtId="0" fontId="0" fillId="0" borderId="0" xfId="0" applyAlignment="1">
      <alignment horizontal="left" vertical="center" wrapText="1"/>
    </xf>
    <xf numFmtId="0" fontId="10" fillId="0" borderId="0" xfId="258" applyFont="1" applyAlignment="1">
      <alignment vertical="top" wrapText="1"/>
    </xf>
    <xf numFmtId="0" fontId="8" fillId="0" borderId="0" xfId="0" applyFont="1" applyAlignment="1">
      <alignment vertical="top" wrapText="1"/>
    </xf>
    <xf numFmtId="3" fontId="114" fillId="0" borderId="0" xfId="261" applyNumberFormat="1" applyFont="1" applyAlignment="1">
      <alignment horizontal="center"/>
    </xf>
    <xf numFmtId="0" fontId="114" fillId="0" borderId="0" xfId="261" applyFont="1" applyAlignment="1">
      <alignment horizontal="center"/>
    </xf>
    <xf numFmtId="44" fontId="114" fillId="0" borderId="0" xfId="117" applyFont="1" applyAlignment="1" applyProtection="1">
      <alignment horizontal="center"/>
    </xf>
    <xf numFmtId="0" fontId="81" fillId="0" borderId="30" xfId="261" applyFont="1" applyBorder="1" applyAlignment="1">
      <alignment horizontal="center"/>
    </xf>
    <xf numFmtId="0" fontId="10" fillId="0" borderId="0" xfId="404" applyFont="1" applyAlignment="1">
      <alignment wrapText="1"/>
    </xf>
    <xf numFmtId="44" fontId="114" fillId="0" borderId="0" xfId="376" applyFont="1" applyAlignment="1">
      <alignment horizontal="center"/>
    </xf>
    <xf numFmtId="0" fontId="81" fillId="0" borderId="0" xfId="404" applyFont="1" applyAlignment="1">
      <alignment vertical="top" wrapText="1"/>
    </xf>
    <xf numFmtId="0" fontId="7" fillId="0" borderId="0" xfId="404" applyAlignment="1">
      <alignment vertical="top" wrapText="1"/>
    </xf>
    <xf numFmtId="0" fontId="10" fillId="0" borderId="0" xfId="528" applyFont="1" applyAlignment="1">
      <alignment vertical="top" wrapText="1"/>
    </xf>
    <xf numFmtId="0" fontId="8" fillId="0" borderId="0" xfId="261" applyAlignment="1">
      <alignment wrapText="1"/>
    </xf>
    <xf numFmtId="0" fontId="10" fillId="0" borderId="0" xfId="165" applyFont="1" applyAlignment="1">
      <alignment vertical="top" wrapText="1"/>
    </xf>
    <xf numFmtId="0" fontId="145" fillId="0" borderId="0" xfId="261" applyFont="1" applyAlignment="1">
      <alignment horizontal="center"/>
    </xf>
    <xf numFmtId="0" fontId="10" fillId="0" borderId="0" xfId="404" applyFont="1" applyAlignment="1">
      <alignment vertical="top" wrapText="1"/>
    </xf>
    <xf numFmtId="0" fontId="81" fillId="0" borderId="0" xfId="0" applyFont="1" applyAlignment="1">
      <alignment horizontal="center"/>
    </xf>
    <xf numFmtId="0" fontId="11" fillId="0" borderId="0" xfId="0" applyFont="1" applyAlignment="1">
      <alignment horizontal="center"/>
    </xf>
    <xf numFmtId="0" fontId="127" fillId="0" borderId="0" xfId="0" applyFont="1" applyAlignment="1">
      <alignment horizontal="center" wrapText="1"/>
    </xf>
  </cellXfs>
  <cellStyles count="540">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B 2" xfId="339" xr:uid="{00000000-0005-0000-0000-000037000000}"/>
    <cellStyle name="C01H" xfId="56" xr:uid="{00000000-0005-0000-0000-000038000000}"/>
    <cellStyle name="C01L" xfId="57" xr:uid="{00000000-0005-0000-0000-000039000000}"/>
    <cellStyle name="C02A" xfId="58" xr:uid="{00000000-0005-0000-0000-00003A000000}"/>
    <cellStyle name="C02B" xfId="59" xr:uid="{00000000-0005-0000-0000-00003B000000}"/>
    <cellStyle name="C02B 2" xfId="340" xr:uid="{00000000-0005-0000-0000-00003C000000}"/>
    <cellStyle name="C02H" xfId="60" xr:uid="{00000000-0005-0000-0000-00003D000000}"/>
    <cellStyle name="C02L" xfId="61" xr:uid="{00000000-0005-0000-0000-00003E000000}"/>
    <cellStyle name="C03A" xfId="62" xr:uid="{00000000-0005-0000-0000-00003F000000}"/>
    <cellStyle name="C03B" xfId="63" xr:uid="{00000000-0005-0000-0000-000040000000}"/>
    <cellStyle name="C03H" xfId="64" xr:uid="{00000000-0005-0000-0000-000041000000}"/>
    <cellStyle name="C03L" xfId="65" xr:uid="{00000000-0005-0000-0000-000042000000}"/>
    <cellStyle name="C04A" xfId="66" xr:uid="{00000000-0005-0000-0000-000043000000}"/>
    <cellStyle name="C04A 2" xfId="341" xr:uid="{00000000-0005-0000-0000-000044000000}"/>
    <cellStyle name="C04B" xfId="67" xr:uid="{00000000-0005-0000-0000-000045000000}"/>
    <cellStyle name="C04H" xfId="68" xr:uid="{00000000-0005-0000-0000-000046000000}"/>
    <cellStyle name="C04L" xfId="69" xr:uid="{00000000-0005-0000-0000-000047000000}"/>
    <cellStyle name="C05A" xfId="70" xr:uid="{00000000-0005-0000-0000-000048000000}"/>
    <cellStyle name="C05B" xfId="71" xr:uid="{00000000-0005-0000-0000-000049000000}"/>
    <cellStyle name="C05H" xfId="72" xr:uid="{00000000-0005-0000-0000-00004A000000}"/>
    <cellStyle name="C05L" xfId="73" xr:uid="{00000000-0005-0000-0000-00004B000000}"/>
    <cellStyle name="C05L 2" xfId="342" xr:uid="{00000000-0005-0000-0000-00004C000000}"/>
    <cellStyle name="C06A" xfId="74" xr:uid="{00000000-0005-0000-0000-00004D000000}"/>
    <cellStyle name="C06B" xfId="75" xr:uid="{00000000-0005-0000-0000-00004E000000}"/>
    <cellStyle name="C06H" xfId="76" xr:uid="{00000000-0005-0000-0000-00004F000000}"/>
    <cellStyle name="C06L" xfId="77" xr:uid="{00000000-0005-0000-0000-000050000000}"/>
    <cellStyle name="C07A" xfId="78" xr:uid="{00000000-0005-0000-0000-000051000000}"/>
    <cellStyle name="C07B" xfId="79" xr:uid="{00000000-0005-0000-0000-000052000000}"/>
    <cellStyle name="C07H" xfId="80" xr:uid="{00000000-0005-0000-0000-000053000000}"/>
    <cellStyle name="C07L" xfId="81" xr:uid="{00000000-0005-0000-0000-000054000000}"/>
    <cellStyle name="Calculation" xfId="82" builtinId="22" customBuiltin="1"/>
    <cellStyle name="Calculation 2" xfId="83" xr:uid="{00000000-0005-0000-0000-000056000000}"/>
    <cellStyle name="Check Cell" xfId="84" builtinId="23" customBuiltin="1"/>
    <cellStyle name="Check Cell 2" xfId="85" xr:uid="{00000000-0005-0000-0000-000058000000}"/>
    <cellStyle name="Comma" xfId="86" builtinId="3"/>
    <cellStyle name="Comma 10" xfId="343" xr:uid="{00000000-0005-0000-0000-00005A000000}"/>
    <cellStyle name="Comma 11" xfId="527" xr:uid="{00000000-0005-0000-0000-00005B000000}"/>
    <cellStyle name="Comma 12" xfId="530" xr:uid="{00000000-0005-0000-0000-00005C000000}"/>
    <cellStyle name="Comma 12 2" xfId="87" xr:uid="{00000000-0005-0000-0000-00005D000000}"/>
    <cellStyle name="Comma 12 2 2" xfId="344" xr:uid="{00000000-0005-0000-0000-00005E000000}"/>
    <cellStyle name="Comma 13" xfId="535" xr:uid="{C185D9B0-4659-4171-A49E-6C636B0DDC25}"/>
    <cellStyle name="Comma 141" xfId="538" xr:uid="{5F688556-0FB5-49AF-BB64-65F7CB6B52C7}"/>
    <cellStyle name="Comma 2" xfId="88" xr:uid="{00000000-0005-0000-0000-00005F000000}"/>
    <cellStyle name="Comma 2 2" xfId="89" xr:uid="{00000000-0005-0000-0000-000060000000}"/>
    <cellStyle name="Comma 2 2 2" xfId="346" xr:uid="{00000000-0005-0000-0000-000061000000}"/>
    <cellStyle name="Comma 2 3" xfId="345" xr:uid="{00000000-0005-0000-0000-000062000000}"/>
    <cellStyle name="Comma 3" xfId="90" xr:uid="{00000000-0005-0000-0000-000063000000}"/>
    <cellStyle name="Comma 3 10" xfId="347" xr:uid="{00000000-0005-0000-0000-000064000000}"/>
    <cellStyle name="Comma 3 2" xfId="91" xr:uid="{00000000-0005-0000-0000-000065000000}"/>
    <cellStyle name="Comma 3 2 2" xfId="348" xr:uid="{00000000-0005-0000-0000-000066000000}"/>
    <cellStyle name="Comma 3 3" xfId="92" xr:uid="{00000000-0005-0000-0000-000067000000}"/>
    <cellStyle name="Comma 3 3 2" xfId="93" xr:uid="{00000000-0005-0000-0000-000068000000}"/>
    <cellStyle name="Comma 3 3 2 2" xfId="350" xr:uid="{00000000-0005-0000-0000-000069000000}"/>
    <cellStyle name="Comma 3 3 3" xfId="94" xr:uid="{00000000-0005-0000-0000-00006A000000}"/>
    <cellStyle name="Comma 3 3 3 2" xfId="351" xr:uid="{00000000-0005-0000-0000-00006B000000}"/>
    <cellStyle name="Comma 3 3 4" xfId="349" xr:uid="{00000000-0005-0000-0000-00006C000000}"/>
    <cellStyle name="Comma 3 4" xfId="95" xr:uid="{00000000-0005-0000-0000-00006D000000}"/>
    <cellStyle name="Comma 3 4 2" xfId="96" xr:uid="{00000000-0005-0000-0000-00006E000000}"/>
    <cellStyle name="Comma 3 4 2 2" xfId="353" xr:uid="{00000000-0005-0000-0000-00006F000000}"/>
    <cellStyle name="Comma 3 4 3" xfId="97" xr:uid="{00000000-0005-0000-0000-000070000000}"/>
    <cellStyle name="Comma 3 4 3 2" xfId="354" xr:uid="{00000000-0005-0000-0000-000071000000}"/>
    <cellStyle name="Comma 3 4 4" xfId="352" xr:uid="{00000000-0005-0000-0000-000072000000}"/>
    <cellStyle name="Comma 3 5" xfId="98" xr:uid="{00000000-0005-0000-0000-000073000000}"/>
    <cellStyle name="Comma 3 5 2" xfId="355" xr:uid="{00000000-0005-0000-0000-000074000000}"/>
    <cellStyle name="Comma 3 6" xfId="99" xr:uid="{00000000-0005-0000-0000-000075000000}"/>
    <cellStyle name="Comma 3 6 2" xfId="100" xr:uid="{00000000-0005-0000-0000-000076000000}"/>
    <cellStyle name="Comma 3 6 2 2" xfId="357" xr:uid="{00000000-0005-0000-0000-000077000000}"/>
    <cellStyle name="Comma 3 6 3" xfId="356" xr:uid="{00000000-0005-0000-0000-000078000000}"/>
    <cellStyle name="Comma 3 7" xfId="101" xr:uid="{00000000-0005-0000-0000-000079000000}"/>
    <cellStyle name="Comma 3 7 2" xfId="102" xr:uid="{00000000-0005-0000-0000-00007A000000}"/>
    <cellStyle name="Comma 3 7 2 2" xfId="359" xr:uid="{00000000-0005-0000-0000-00007B000000}"/>
    <cellStyle name="Comma 3 7 3" xfId="358" xr:uid="{00000000-0005-0000-0000-00007C000000}"/>
    <cellStyle name="Comma 3 8" xfId="103" xr:uid="{00000000-0005-0000-0000-00007D000000}"/>
    <cellStyle name="Comma 3 8 2" xfId="360" xr:uid="{00000000-0005-0000-0000-00007E000000}"/>
    <cellStyle name="Comma 3 9" xfId="338" xr:uid="{00000000-0005-0000-0000-00007F000000}"/>
    <cellStyle name="Comma 4" xfId="104" xr:uid="{00000000-0005-0000-0000-000080000000}"/>
    <cellStyle name="Comma 4 2" xfId="105" xr:uid="{00000000-0005-0000-0000-000081000000}"/>
    <cellStyle name="Comma 4 2 2" xfId="362" xr:uid="{00000000-0005-0000-0000-000082000000}"/>
    <cellStyle name="Comma 4 3" xfId="361" xr:uid="{00000000-0005-0000-0000-000083000000}"/>
    <cellStyle name="Comma 5" xfId="106" xr:uid="{00000000-0005-0000-0000-000084000000}"/>
    <cellStyle name="Comma 5 2" xfId="107" xr:uid="{00000000-0005-0000-0000-000085000000}"/>
    <cellStyle name="Comma 5 2 2" xfId="364" xr:uid="{00000000-0005-0000-0000-000086000000}"/>
    <cellStyle name="Comma 5 3" xfId="363" xr:uid="{00000000-0005-0000-0000-000087000000}"/>
    <cellStyle name="Comma 6" xfId="108" xr:uid="{00000000-0005-0000-0000-000088000000}"/>
    <cellStyle name="Comma 6 2" xfId="109" xr:uid="{00000000-0005-0000-0000-000089000000}"/>
    <cellStyle name="Comma 6 2 2" xfId="366" xr:uid="{00000000-0005-0000-0000-00008A000000}"/>
    <cellStyle name="Comma 6 3" xfId="110" xr:uid="{00000000-0005-0000-0000-00008B000000}"/>
    <cellStyle name="Comma 6 3 2" xfId="367" xr:uid="{00000000-0005-0000-0000-00008C000000}"/>
    <cellStyle name="Comma 6 4" xfId="365" xr:uid="{00000000-0005-0000-0000-00008D000000}"/>
    <cellStyle name="Comma 7" xfId="111" xr:uid="{00000000-0005-0000-0000-00008E000000}"/>
    <cellStyle name="Comma 7 2" xfId="112" xr:uid="{00000000-0005-0000-0000-00008F000000}"/>
    <cellStyle name="Comma 7 2 2" xfId="369" xr:uid="{00000000-0005-0000-0000-000090000000}"/>
    <cellStyle name="Comma 7 3" xfId="113" xr:uid="{00000000-0005-0000-0000-000091000000}"/>
    <cellStyle name="Comma 7 3 2" xfId="370" xr:uid="{00000000-0005-0000-0000-000092000000}"/>
    <cellStyle name="Comma 7 4" xfId="368" xr:uid="{00000000-0005-0000-0000-000093000000}"/>
    <cellStyle name="Comma 8" xfId="114" xr:uid="{00000000-0005-0000-0000-000094000000}"/>
    <cellStyle name="Comma 8 2" xfId="371" xr:uid="{00000000-0005-0000-0000-000095000000}"/>
    <cellStyle name="Comma 9" xfId="372" xr:uid="{00000000-0005-0000-0000-000096000000}"/>
    <cellStyle name="Comma 9 2" xfId="526" xr:uid="{00000000-0005-0000-0000-000097000000}"/>
    <cellStyle name="Comma 9 3 2" xfId="537" xr:uid="{2A4BE360-E35D-48DF-9E93-FD6759C3B54E}"/>
    <cellStyle name="Comma_spp calc - revsd rev crd" xfId="115" xr:uid="{00000000-0005-0000-0000-000098000000}"/>
    <cellStyle name="Comma0" xfId="116" xr:uid="{00000000-0005-0000-0000-000099000000}"/>
    <cellStyle name="Comma0 2" xfId="373" xr:uid="{00000000-0005-0000-0000-00009A000000}"/>
    <cellStyle name="Currency" xfId="117" builtinId="4"/>
    <cellStyle name="Currency 2" xfId="118" xr:uid="{00000000-0005-0000-0000-00009C000000}"/>
    <cellStyle name="Currency 2 2" xfId="119" xr:uid="{00000000-0005-0000-0000-00009D000000}"/>
    <cellStyle name="Currency 2 2 2" xfId="376" xr:uid="{00000000-0005-0000-0000-00009E000000}"/>
    <cellStyle name="Currency 2 3" xfId="375" xr:uid="{00000000-0005-0000-0000-00009F000000}"/>
    <cellStyle name="Currency 3" xfId="120" xr:uid="{00000000-0005-0000-0000-0000A0000000}"/>
    <cellStyle name="Currency 3 2" xfId="121" xr:uid="{00000000-0005-0000-0000-0000A1000000}"/>
    <cellStyle name="Currency 3 2 2" xfId="378" xr:uid="{00000000-0005-0000-0000-0000A2000000}"/>
    <cellStyle name="Currency 3 3" xfId="122" xr:uid="{00000000-0005-0000-0000-0000A3000000}"/>
    <cellStyle name="Currency 3 3 2" xfId="123" xr:uid="{00000000-0005-0000-0000-0000A4000000}"/>
    <cellStyle name="Currency 3 3 2 2" xfId="380" xr:uid="{00000000-0005-0000-0000-0000A5000000}"/>
    <cellStyle name="Currency 3 3 3" xfId="124" xr:uid="{00000000-0005-0000-0000-0000A6000000}"/>
    <cellStyle name="Currency 3 3 3 2" xfId="381" xr:uid="{00000000-0005-0000-0000-0000A7000000}"/>
    <cellStyle name="Currency 3 3 4" xfId="379" xr:uid="{00000000-0005-0000-0000-0000A8000000}"/>
    <cellStyle name="Currency 3 4" xfId="125" xr:uid="{00000000-0005-0000-0000-0000A9000000}"/>
    <cellStyle name="Currency 3 4 2" xfId="126" xr:uid="{00000000-0005-0000-0000-0000AA000000}"/>
    <cellStyle name="Currency 3 4 2 2" xfId="383" xr:uid="{00000000-0005-0000-0000-0000AB000000}"/>
    <cellStyle name="Currency 3 4 3" xfId="127" xr:uid="{00000000-0005-0000-0000-0000AC000000}"/>
    <cellStyle name="Currency 3 4 3 2" xfId="384" xr:uid="{00000000-0005-0000-0000-0000AD000000}"/>
    <cellStyle name="Currency 3 4 4" xfId="382" xr:uid="{00000000-0005-0000-0000-0000AE000000}"/>
    <cellStyle name="Currency 3 5" xfId="128" xr:uid="{00000000-0005-0000-0000-0000AF000000}"/>
    <cellStyle name="Currency 3 5 2" xfId="385" xr:uid="{00000000-0005-0000-0000-0000B0000000}"/>
    <cellStyle name="Currency 3 6" xfId="129" xr:uid="{00000000-0005-0000-0000-0000B1000000}"/>
    <cellStyle name="Currency 3 6 2" xfId="130" xr:uid="{00000000-0005-0000-0000-0000B2000000}"/>
    <cellStyle name="Currency 3 6 2 2" xfId="387" xr:uid="{00000000-0005-0000-0000-0000B3000000}"/>
    <cellStyle name="Currency 3 6 3" xfId="386" xr:uid="{00000000-0005-0000-0000-0000B4000000}"/>
    <cellStyle name="Currency 3 7" xfId="131" xr:uid="{00000000-0005-0000-0000-0000B5000000}"/>
    <cellStyle name="Currency 3 7 2" xfId="388" xr:uid="{00000000-0005-0000-0000-0000B6000000}"/>
    <cellStyle name="Currency 3 8" xfId="389" xr:uid="{00000000-0005-0000-0000-0000B7000000}"/>
    <cellStyle name="Currency 3 9" xfId="377" xr:uid="{00000000-0005-0000-0000-0000B8000000}"/>
    <cellStyle name="Currency 4" xfId="132" xr:uid="{00000000-0005-0000-0000-0000B9000000}"/>
    <cellStyle name="Currency 4 2" xfId="133" xr:uid="{00000000-0005-0000-0000-0000BA000000}"/>
    <cellStyle name="Currency 4 2 2" xfId="391" xr:uid="{00000000-0005-0000-0000-0000BB000000}"/>
    <cellStyle name="Currency 4 3" xfId="390" xr:uid="{00000000-0005-0000-0000-0000BC000000}"/>
    <cellStyle name="Currency 5" xfId="134" xr:uid="{00000000-0005-0000-0000-0000BD000000}"/>
    <cellStyle name="Currency 5 2" xfId="135" xr:uid="{00000000-0005-0000-0000-0000BE000000}"/>
    <cellStyle name="Currency 5 2 2" xfId="393" xr:uid="{00000000-0005-0000-0000-0000BF000000}"/>
    <cellStyle name="Currency 5 3" xfId="392" xr:uid="{00000000-0005-0000-0000-0000C0000000}"/>
    <cellStyle name="Currency 6" xfId="136" xr:uid="{00000000-0005-0000-0000-0000C1000000}"/>
    <cellStyle name="Currency 6 2" xfId="394" xr:uid="{00000000-0005-0000-0000-0000C2000000}"/>
    <cellStyle name="Currency 7" xfId="137" xr:uid="{00000000-0005-0000-0000-0000C3000000}"/>
    <cellStyle name="Currency 7 2" xfId="395" xr:uid="{00000000-0005-0000-0000-0000C4000000}"/>
    <cellStyle name="Currency 8" xfId="396" xr:uid="{00000000-0005-0000-0000-0000C5000000}"/>
    <cellStyle name="Currency 9" xfId="374" xr:uid="{00000000-0005-0000-0000-0000C6000000}"/>
    <cellStyle name="Currency0" xfId="138" xr:uid="{00000000-0005-0000-0000-0000C7000000}"/>
    <cellStyle name="Currency0 2" xfId="397" xr:uid="{00000000-0005-0000-0000-0000C8000000}"/>
    <cellStyle name="Date" xfId="139" xr:uid="{00000000-0005-0000-0000-0000C9000000}"/>
    <cellStyle name="Date 2" xfId="398" xr:uid="{00000000-0005-0000-0000-0000CA000000}"/>
    <cellStyle name="Explanatory Text" xfId="140" builtinId="53" customBuiltin="1"/>
    <cellStyle name="Explanatory Text 2" xfId="141" xr:uid="{00000000-0005-0000-0000-0000CC000000}"/>
    <cellStyle name="Fixed" xfId="142" xr:uid="{00000000-0005-0000-0000-0000CD000000}"/>
    <cellStyle name="Fixed 2" xfId="399" xr:uid="{00000000-0005-0000-0000-0000CE000000}"/>
    <cellStyle name="Good" xfId="143" builtinId="26" customBuiltin="1"/>
    <cellStyle name="Good 2" xfId="144" xr:uid="{00000000-0005-0000-0000-0000D0000000}"/>
    <cellStyle name="Heading 1" xfId="145" builtinId="16" customBuiltin="1"/>
    <cellStyle name="Heading 1 2" xfId="146" xr:uid="{00000000-0005-0000-0000-0000D2000000}"/>
    <cellStyle name="Heading 2" xfId="147" builtinId="17" customBuiltin="1"/>
    <cellStyle name="Heading 2 2" xfId="148" xr:uid="{00000000-0005-0000-0000-0000D4000000}"/>
    <cellStyle name="Heading 3" xfId="149" builtinId="18" customBuiltin="1"/>
    <cellStyle name="Heading 3 2" xfId="150" xr:uid="{00000000-0005-0000-0000-0000D6000000}"/>
    <cellStyle name="Heading 4" xfId="151" builtinId="19" customBuiltin="1"/>
    <cellStyle name="Heading 4 2" xfId="152" xr:uid="{00000000-0005-0000-0000-0000D8000000}"/>
    <cellStyle name="Heading1" xfId="153" xr:uid="{00000000-0005-0000-0000-0000D9000000}"/>
    <cellStyle name="Heading2" xfId="154" xr:uid="{00000000-0005-0000-0000-0000DA000000}"/>
    <cellStyle name="Input" xfId="155" builtinId="20" customBuiltin="1"/>
    <cellStyle name="Input 2" xfId="156" xr:uid="{00000000-0005-0000-0000-0000DC000000}"/>
    <cellStyle name="Linked Cell" xfId="157" builtinId="24" customBuiltin="1"/>
    <cellStyle name="Linked Cell 2" xfId="158" xr:uid="{00000000-0005-0000-0000-0000DE000000}"/>
    <cellStyle name="Neutral" xfId="159" builtinId="28" customBuiltin="1"/>
    <cellStyle name="Neutral 2" xfId="160" xr:uid="{00000000-0005-0000-0000-0000E0000000}"/>
    <cellStyle name="Normal" xfId="0" builtinId="0"/>
    <cellStyle name="Normal 10" xfId="161" xr:uid="{00000000-0005-0000-0000-0000E2000000}"/>
    <cellStyle name="Normal 10 2" xfId="162" xr:uid="{00000000-0005-0000-0000-0000E3000000}"/>
    <cellStyle name="Normal 10 2 2" xfId="401" xr:uid="{00000000-0005-0000-0000-0000E4000000}"/>
    <cellStyle name="Normal 10 3" xfId="163" xr:uid="{00000000-0005-0000-0000-0000E5000000}"/>
    <cellStyle name="Normal 10 3 2" xfId="402" xr:uid="{00000000-0005-0000-0000-0000E6000000}"/>
    <cellStyle name="Normal 10 4" xfId="400" xr:uid="{00000000-0005-0000-0000-0000E7000000}"/>
    <cellStyle name="Normal 11" xfId="164" xr:uid="{00000000-0005-0000-0000-0000E8000000}"/>
    <cellStyle name="Normal 11 2" xfId="165" xr:uid="{00000000-0005-0000-0000-0000E9000000}"/>
    <cellStyle name="Normal 11 2 2" xfId="404" xr:uid="{00000000-0005-0000-0000-0000EA000000}"/>
    <cellStyle name="Normal 11 2 2 2" xfId="539" xr:uid="{04189F91-9049-4E63-ABEB-8581832A3B01}"/>
    <cellStyle name="Normal 11 3" xfId="166" xr:uid="{00000000-0005-0000-0000-0000EB000000}"/>
    <cellStyle name="Normal 11 3 2" xfId="405" xr:uid="{00000000-0005-0000-0000-0000EC000000}"/>
    <cellStyle name="Normal 11 4" xfId="403" xr:uid="{00000000-0005-0000-0000-0000ED000000}"/>
    <cellStyle name="Normal 12" xfId="167" xr:uid="{00000000-0005-0000-0000-0000EE000000}"/>
    <cellStyle name="Normal 12 2" xfId="168" xr:uid="{00000000-0005-0000-0000-0000EF000000}"/>
    <cellStyle name="Normal 12 2 2" xfId="407" xr:uid="{00000000-0005-0000-0000-0000F0000000}"/>
    <cellStyle name="Normal 12 3" xfId="406" xr:uid="{00000000-0005-0000-0000-0000F1000000}"/>
    <cellStyle name="Normal 12 4" xfId="169" xr:uid="{00000000-0005-0000-0000-0000F2000000}"/>
    <cellStyle name="Normal 12 4 2" xfId="408" xr:uid="{00000000-0005-0000-0000-0000F3000000}"/>
    <cellStyle name="Normal 13" xfId="170" xr:uid="{00000000-0005-0000-0000-0000F4000000}"/>
    <cellStyle name="Normal 13 2" xfId="171" xr:uid="{00000000-0005-0000-0000-0000F5000000}"/>
    <cellStyle name="Normal 13 2 2" xfId="410" xr:uid="{00000000-0005-0000-0000-0000F6000000}"/>
    <cellStyle name="Normal 13 3" xfId="409" xr:uid="{00000000-0005-0000-0000-0000F7000000}"/>
    <cellStyle name="Normal 14" xfId="172" xr:uid="{00000000-0005-0000-0000-0000F8000000}"/>
    <cellStyle name="Normal 14 2" xfId="173" xr:uid="{00000000-0005-0000-0000-0000F9000000}"/>
    <cellStyle name="Normal 14 2 2" xfId="412" xr:uid="{00000000-0005-0000-0000-0000FA000000}"/>
    <cellStyle name="Normal 14 3" xfId="411" xr:uid="{00000000-0005-0000-0000-0000FB000000}"/>
    <cellStyle name="Normal 15" xfId="174" xr:uid="{00000000-0005-0000-0000-0000FC000000}"/>
    <cellStyle name="Normal 15 2" xfId="413" xr:uid="{00000000-0005-0000-0000-0000FD000000}"/>
    <cellStyle name="Normal 16" xfId="175" xr:uid="{00000000-0005-0000-0000-0000FE000000}"/>
    <cellStyle name="Normal 16 2" xfId="176" xr:uid="{00000000-0005-0000-0000-0000FF000000}"/>
    <cellStyle name="Normal 16 2 2" xfId="415" xr:uid="{00000000-0005-0000-0000-000000010000}"/>
    <cellStyle name="Normal 16 3" xfId="414" xr:uid="{00000000-0005-0000-0000-000001010000}"/>
    <cellStyle name="Normal 17" xfId="177" xr:uid="{00000000-0005-0000-0000-000002010000}"/>
    <cellStyle name="Normal 17 2" xfId="178" xr:uid="{00000000-0005-0000-0000-000003010000}"/>
    <cellStyle name="Normal 17 2 2" xfId="417" xr:uid="{00000000-0005-0000-0000-000004010000}"/>
    <cellStyle name="Normal 17 3" xfId="416" xr:uid="{00000000-0005-0000-0000-000005010000}"/>
    <cellStyle name="Normal 18" xfId="179" xr:uid="{00000000-0005-0000-0000-000006010000}"/>
    <cellStyle name="Normal 18 2" xfId="180" xr:uid="{00000000-0005-0000-0000-000007010000}"/>
    <cellStyle name="Normal 18 2 2" xfId="419" xr:uid="{00000000-0005-0000-0000-000008010000}"/>
    <cellStyle name="Normal 18 3" xfId="418" xr:uid="{00000000-0005-0000-0000-000009010000}"/>
    <cellStyle name="Normal 19" xfId="181" xr:uid="{00000000-0005-0000-0000-00000A010000}"/>
    <cellStyle name="Normal 19 2" xfId="182" xr:uid="{00000000-0005-0000-0000-00000B010000}"/>
    <cellStyle name="Normal 19 2 2" xfId="421" xr:uid="{00000000-0005-0000-0000-00000C010000}"/>
    <cellStyle name="Normal 19 3" xfId="420" xr:uid="{00000000-0005-0000-0000-00000D010000}"/>
    <cellStyle name="Normal 2" xfId="183" xr:uid="{00000000-0005-0000-0000-00000E010000}"/>
    <cellStyle name="Normal 2 2" xfId="184" xr:uid="{00000000-0005-0000-0000-00000F010000}"/>
    <cellStyle name="Normal 2 2 2" xfId="185" xr:uid="{00000000-0005-0000-0000-000010010000}"/>
    <cellStyle name="Normal 2 2 3" xfId="186" xr:uid="{00000000-0005-0000-0000-000011010000}"/>
    <cellStyle name="Normal 2 2 3 2" xfId="424" xr:uid="{00000000-0005-0000-0000-000012010000}"/>
    <cellStyle name="Normal 2 2 4" xfId="187" xr:uid="{00000000-0005-0000-0000-000013010000}"/>
    <cellStyle name="Normal 2 2 4 2" xfId="425" xr:uid="{00000000-0005-0000-0000-000014010000}"/>
    <cellStyle name="Normal 2 2 5" xfId="423" xr:uid="{00000000-0005-0000-0000-000015010000}"/>
    <cellStyle name="Normal 2 3" xfId="188" xr:uid="{00000000-0005-0000-0000-000016010000}"/>
    <cellStyle name="Normal 2 4" xfId="422" xr:uid="{00000000-0005-0000-0000-000017010000}"/>
    <cellStyle name="Normal 2 5" xfId="189" xr:uid="{00000000-0005-0000-0000-000018010000}"/>
    <cellStyle name="Normal 2 5 2" xfId="190" xr:uid="{00000000-0005-0000-0000-000019010000}"/>
    <cellStyle name="Normal 2 5 2 2" xfId="427" xr:uid="{00000000-0005-0000-0000-00001A010000}"/>
    <cellStyle name="Normal 2 5 3" xfId="426" xr:uid="{00000000-0005-0000-0000-00001B010000}"/>
    <cellStyle name="Normal 20" xfId="191" xr:uid="{00000000-0005-0000-0000-00001C010000}"/>
    <cellStyle name="Normal 20 2" xfId="192" xr:uid="{00000000-0005-0000-0000-00001D010000}"/>
    <cellStyle name="Normal 20 2 2" xfId="429" xr:uid="{00000000-0005-0000-0000-00001E010000}"/>
    <cellStyle name="Normal 20 3" xfId="428" xr:uid="{00000000-0005-0000-0000-00001F010000}"/>
    <cellStyle name="Normal 21" xfId="193" xr:uid="{00000000-0005-0000-0000-000020010000}"/>
    <cellStyle name="Normal 21 2" xfId="194" xr:uid="{00000000-0005-0000-0000-000021010000}"/>
    <cellStyle name="Normal 21 2 2" xfId="431" xr:uid="{00000000-0005-0000-0000-000022010000}"/>
    <cellStyle name="Normal 21 3" xfId="430" xr:uid="{00000000-0005-0000-0000-000023010000}"/>
    <cellStyle name="Normal 22" xfId="195" xr:uid="{00000000-0005-0000-0000-000024010000}"/>
    <cellStyle name="Normal 22 2" xfId="196" xr:uid="{00000000-0005-0000-0000-000025010000}"/>
    <cellStyle name="Normal 22 2 2" xfId="433" xr:uid="{00000000-0005-0000-0000-000026010000}"/>
    <cellStyle name="Normal 22 3" xfId="432" xr:uid="{00000000-0005-0000-0000-000027010000}"/>
    <cellStyle name="Normal 23" xfId="197" xr:uid="{00000000-0005-0000-0000-000028010000}"/>
    <cellStyle name="Normal 23 2" xfId="198" xr:uid="{00000000-0005-0000-0000-000029010000}"/>
    <cellStyle name="Normal 23 2 2" xfId="435" xr:uid="{00000000-0005-0000-0000-00002A010000}"/>
    <cellStyle name="Normal 23 3" xfId="434" xr:uid="{00000000-0005-0000-0000-00002B010000}"/>
    <cellStyle name="Normal 24" xfId="199" xr:uid="{00000000-0005-0000-0000-00002C010000}"/>
    <cellStyle name="Normal 24 2" xfId="200" xr:uid="{00000000-0005-0000-0000-00002D010000}"/>
    <cellStyle name="Normal 24 2 2" xfId="437" xr:uid="{00000000-0005-0000-0000-00002E010000}"/>
    <cellStyle name="Normal 24 3" xfId="436" xr:uid="{00000000-0005-0000-0000-00002F010000}"/>
    <cellStyle name="Normal 25" xfId="201" xr:uid="{00000000-0005-0000-0000-000030010000}"/>
    <cellStyle name="Normal 25 2" xfId="202" xr:uid="{00000000-0005-0000-0000-000031010000}"/>
    <cellStyle name="Normal 25 2 2" xfId="439" xr:uid="{00000000-0005-0000-0000-000032010000}"/>
    <cellStyle name="Normal 25 3" xfId="438" xr:uid="{00000000-0005-0000-0000-000033010000}"/>
    <cellStyle name="Normal 26" xfId="203" xr:uid="{00000000-0005-0000-0000-000034010000}"/>
    <cellStyle name="Normal 26 2" xfId="204" xr:uid="{00000000-0005-0000-0000-000035010000}"/>
    <cellStyle name="Normal 26 2 2" xfId="441" xr:uid="{00000000-0005-0000-0000-000036010000}"/>
    <cellStyle name="Normal 26 3" xfId="440" xr:uid="{00000000-0005-0000-0000-000037010000}"/>
    <cellStyle name="Normal 27" xfId="205" xr:uid="{00000000-0005-0000-0000-000038010000}"/>
    <cellStyle name="Normal 27 2" xfId="442" xr:uid="{00000000-0005-0000-0000-000039010000}"/>
    <cellStyle name="Normal 28" xfId="206" xr:uid="{00000000-0005-0000-0000-00003A010000}"/>
    <cellStyle name="Normal 28 2" xfId="207" xr:uid="{00000000-0005-0000-0000-00003B010000}"/>
    <cellStyle name="Normal 28 2 2" xfId="444" xr:uid="{00000000-0005-0000-0000-00003C010000}"/>
    <cellStyle name="Normal 28 3" xfId="443" xr:uid="{00000000-0005-0000-0000-00003D010000}"/>
    <cellStyle name="Normal 29" xfId="208" xr:uid="{00000000-0005-0000-0000-00003E010000}"/>
    <cellStyle name="Normal 29 2" xfId="209" xr:uid="{00000000-0005-0000-0000-00003F010000}"/>
    <cellStyle name="Normal 29 2 2" xfId="446" xr:uid="{00000000-0005-0000-0000-000040010000}"/>
    <cellStyle name="Normal 29 3" xfId="445" xr:uid="{00000000-0005-0000-0000-000041010000}"/>
    <cellStyle name="Normal 3" xfId="210" xr:uid="{00000000-0005-0000-0000-000042010000}"/>
    <cellStyle name="Normal 3 2" xfId="211" xr:uid="{00000000-0005-0000-0000-000043010000}"/>
    <cellStyle name="Normal 3 2 2" xfId="448" xr:uid="{00000000-0005-0000-0000-000044010000}"/>
    <cellStyle name="Normal 3 3" xfId="212" xr:uid="{00000000-0005-0000-0000-000045010000}"/>
    <cellStyle name="Normal 3 3 2" xfId="449" xr:uid="{00000000-0005-0000-0000-000046010000}"/>
    <cellStyle name="Normal 3 4" xfId="447" xr:uid="{00000000-0005-0000-0000-000047010000}"/>
    <cellStyle name="Normal 3_Attach O, GG, Support -New Method 2-14-11" xfId="213" xr:uid="{00000000-0005-0000-0000-000048010000}"/>
    <cellStyle name="Normal 30" xfId="522" xr:uid="{00000000-0005-0000-0000-000049010000}"/>
    <cellStyle name="Normal 31" xfId="525" xr:uid="{00000000-0005-0000-0000-00004A010000}"/>
    <cellStyle name="Normal 31 2" xfId="523" xr:uid="{00000000-0005-0000-0000-00004B010000}"/>
    <cellStyle name="Normal 31 2 2" xfId="529" xr:uid="{00000000-0005-0000-0000-00004C010000}"/>
    <cellStyle name="Normal 31 3" xfId="531" xr:uid="{00000000-0005-0000-0000-00004D010000}"/>
    <cellStyle name="Normal 32" xfId="533" xr:uid="{BF5499BB-2406-47FE-AB76-B9809BB5618F}"/>
    <cellStyle name="Normal 33" xfId="534" xr:uid="{18DE8932-1EB9-492C-A2E5-38EDFCFCCB5B}"/>
    <cellStyle name="Normal 4" xfId="214" xr:uid="{00000000-0005-0000-0000-00004E010000}"/>
    <cellStyle name="Normal 4 10" xfId="450" xr:uid="{00000000-0005-0000-0000-00004F010000}"/>
    <cellStyle name="Normal 4 2" xfId="215" xr:uid="{00000000-0005-0000-0000-000050010000}"/>
    <cellStyle name="Normal 4 2 2" xfId="451" xr:uid="{00000000-0005-0000-0000-000051010000}"/>
    <cellStyle name="Normal 4 3" xfId="216" xr:uid="{00000000-0005-0000-0000-000052010000}"/>
    <cellStyle name="Normal 4 3 2" xfId="217" xr:uid="{00000000-0005-0000-0000-000053010000}"/>
    <cellStyle name="Normal 4 3 2 2" xfId="453" xr:uid="{00000000-0005-0000-0000-000054010000}"/>
    <cellStyle name="Normal 4 3 3" xfId="218" xr:uid="{00000000-0005-0000-0000-000055010000}"/>
    <cellStyle name="Normal 4 3 3 2" xfId="454" xr:uid="{00000000-0005-0000-0000-000056010000}"/>
    <cellStyle name="Normal 4 3 4" xfId="452" xr:uid="{00000000-0005-0000-0000-000057010000}"/>
    <cellStyle name="Normal 4 4" xfId="219" xr:uid="{00000000-0005-0000-0000-000058010000}"/>
    <cellStyle name="Normal 4 4 2" xfId="220" xr:uid="{00000000-0005-0000-0000-000059010000}"/>
    <cellStyle name="Normal 4 4 2 2" xfId="456" xr:uid="{00000000-0005-0000-0000-00005A010000}"/>
    <cellStyle name="Normal 4 4 3" xfId="221" xr:uid="{00000000-0005-0000-0000-00005B010000}"/>
    <cellStyle name="Normal 4 4 3 2" xfId="457" xr:uid="{00000000-0005-0000-0000-00005C010000}"/>
    <cellStyle name="Normal 4 4 4" xfId="455" xr:uid="{00000000-0005-0000-0000-00005D010000}"/>
    <cellStyle name="Normal 4 5" xfId="222" xr:uid="{00000000-0005-0000-0000-00005E010000}"/>
    <cellStyle name="Normal 4 5 2" xfId="458" xr:uid="{00000000-0005-0000-0000-00005F010000}"/>
    <cellStyle name="Normal 4 6" xfId="223" xr:uid="{00000000-0005-0000-0000-000060010000}"/>
    <cellStyle name="Normal 4 6 2" xfId="224" xr:uid="{00000000-0005-0000-0000-000061010000}"/>
    <cellStyle name="Normal 4 6 2 2" xfId="460" xr:uid="{00000000-0005-0000-0000-000062010000}"/>
    <cellStyle name="Normal 4 6 3" xfId="459" xr:uid="{00000000-0005-0000-0000-000063010000}"/>
    <cellStyle name="Normal 4 7" xfId="225" xr:uid="{00000000-0005-0000-0000-000064010000}"/>
    <cellStyle name="Normal 4 7 2" xfId="226" xr:uid="{00000000-0005-0000-0000-000065010000}"/>
    <cellStyle name="Normal 4 7 2 2" xfId="462" xr:uid="{00000000-0005-0000-0000-000066010000}"/>
    <cellStyle name="Normal 4 7 3" xfId="461" xr:uid="{00000000-0005-0000-0000-000067010000}"/>
    <cellStyle name="Normal 4 8" xfId="227" xr:uid="{00000000-0005-0000-0000-000068010000}"/>
    <cellStyle name="Normal 4 8 2" xfId="463" xr:uid="{00000000-0005-0000-0000-000069010000}"/>
    <cellStyle name="Normal 4 9" xfId="464" xr:uid="{00000000-0005-0000-0000-00006A010000}"/>
    <cellStyle name="Normal 4_PBOP Exhibit 1" xfId="228" xr:uid="{00000000-0005-0000-0000-00006B010000}"/>
    <cellStyle name="Normal 5" xfId="229" xr:uid="{00000000-0005-0000-0000-00006C010000}"/>
    <cellStyle name="Normal 5 2" xfId="230" xr:uid="{00000000-0005-0000-0000-00006D010000}"/>
    <cellStyle name="Normal 5 2 2" xfId="231" xr:uid="{00000000-0005-0000-0000-00006E010000}"/>
    <cellStyle name="Normal 5 2 2 2" xfId="467" xr:uid="{00000000-0005-0000-0000-00006F010000}"/>
    <cellStyle name="Normal 5 2 3" xfId="466" xr:uid="{00000000-0005-0000-0000-000070010000}"/>
    <cellStyle name="Normal 5 3" xfId="232" xr:uid="{00000000-0005-0000-0000-000071010000}"/>
    <cellStyle name="Normal 5 3 2" xfId="468" xr:uid="{00000000-0005-0000-0000-000072010000}"/>
    <cellStyle name="Normal 5 4" xfId="233" xr:uid="{00000000-0005-0000-0000-000073010000}"/>
    <cellStyle name="Normal 5 4 2" xfId="469" xr:uid="{00000000-0005-0000-0000-000074010000}"/>
    <cellStyle name="Normal 5 5" xfId="465" xr:uid="{00000000-0005-0000-0000-000075010000}"/>
    <cellStyle name="Normal 6" xfId="234" xr:uid="{00000000-0005-0000-0000-000076010000}"/>
    <cellStyle name="Normal 6 2" xfId="235" xr:uid="{00000000-0005-0000-0000-000077010000}"/>
    <cellStyle name="Normal 6 2 2" xfId="236" xr:uid="{00000000-0005-0000-0000-000078010000}"/>
    <cellStyle name="Normal 6 2 2 2" xfId="472" xr:uid="{00000000-0005-0000-0000-000079010000}"/>
    <cellStyle name="Normal 6 2 3" xfId="237" xr:uid="{00000000-0005-0000-0000-00007A010000}"/>
    <cellStyle name="Normal 6 2 3 2" xfId="473" xr:uid="{00000000-0005-0000-0000-00007B010000}"/>
    <cellStyle name="Normal 6 2 4" xfId="471" xr:uid="{00000000-0005-0000-0000-00007C010000}"/>
    <cellStyle name="Normal 6 3" xfId="238" xr:uid="{00000000-0005-0000-0000-00007D010000}"/>
    <cellStyle name="Normal 6 3 2" xfId="239" xr:uid="{00000000-0005-0000-0000-00007E010000}"/>
    <cellStyle name="Normal 6 3 2 2" xfId="475" xr:uid="{00000000-0005-0000-0000-00007F010000}"/>
    <cellStyle name="Normal 6 3 3" xfId="474" xr:uid="{00000000-0005-0000-0000-000080010000}"/>
    <cellStyle name="Normal 6 4" xfId="240" xr:uid="{00000000-0005-0000-0000-000081010000}"/>
    <cellStyle name="Normal 6 4 2" xfId="241" xr:uid="{00000000-0005-0000-0000-000082010000}"/>
    <cellStyle name="Normal 6 4 2 2" xfId="477" xr:uid="{00000000-0005-0000-0000-000083010000}"/>
    <cellStyle name="Normal 6 4 3" xfId="476" xr:uid="{00000000-0005-0000-0000-000084010000}"/>
    <cellStyle name="Normal 6 5" xfId="470" xr:uid="{00000000-0005-0000-0000-000085010000}"/>
    <cellStyle name="Normal 7" xfId="242" xr:uid="{00000000-0005-0000-0000-000086010000}"/>
    <cellStyle name="Normal 7 2" xfId="243" xr:uid="{00000000-0005-0000-0000-000087010000}"/>
    <cellStyle name="Normal 7 2 2" xfId="479" xr:uid="{00000000-0005-0000-0000-000088010000}"/>
    <cellStyle name="Normal 7 3" xfId="478" xr:uid="{00000000-0005-0000-0000-000089010000}"/>
    <cellStyle name="Normal 8" xfId="244" xr:uid="{00000000-0005-0000-0000-00008A010000}"/>
    <cellStyle name="Normal 8 2" xfId="245" xr:uid="{00000000-0005-0000-0000-00008B010000}"/>
    <cellStyle name="Normal 8 2 2" xfId="481" xr:uid="{00000000-0005-0000-0000-00008C010000}"/>
    <cellStyle name="Normal 8 3" xfId="480" xr:uid="{00000000-0005-0000-0000-00008D010000}"/>
    <cellStyle name="Normal 9" xfId="246" xr:uid="{00000000-0005-0000-0000-00008E010000}"/>
    <cellStyle name="Normal 9 2" xfId="247" xr:uid="{00000000-0005-0000-0000-00008F010000}"/>
    <cellStyle name="Normal 9 2 2" xfId="483" xr:uid="{00000000-0005-0000-0000-000090010000}"/>
    <cellStyle name="Normal 9 3" xfId="482" xr:uid="{00000000-0005-0000-0000-000091010000}"/>
    <cellStyle name="Normal_21 Exh B" xfId="248" xr:uid="{00000000-0005-0000-0000-000092010000}"/>
    <cellStyle name="Normal_ADITAnalysisID090805" xfId="249" xr:uid="{00000000-0005-0000-0000-000093010000}"/>
    <cellStyle name="Normal_ADITAnalysisID090805 2" xfId="250" xr:uid="{00000000-0005-0000-0000-000094010000}"/>
    <cellStyle name="Normal_ADITAnalysisID090805 2 2" xfId="251" xr:uid="{00000000-0005-0000-0000-000095010000}"/>
    <cellStyle name="Normal_ADITAnalysisID090805 2 2 2" xfId="252" xr:uid="{00000000-0005-0000-0000-000096010000}"/>
    <cellStyle name="Normal_ADITAnalysisID090805 3" xfId="253" xr:uid="{00000000-0005-0000-0000-000097010000}"/>
    <cellStyle name="Normal_ADITAnalysisID090805 4 2" xfId="254" xr:uid="{00000000-0005-0000-0000-000098010000}"/>
    <cellStyle name="Normal_ATC Projected 2008 Monthly Plant Balances for Attachment O 2 (2)" xfId="255" xr:uid="{00000000-0005-0000-0000-000099010000}"/>
    <cellStyle name="Normal_AU Period 2 Rev 4-27-00" xfId="256" xr:uid="{00000000-0005-0000-0000-00009A010000}"/>
    <cellStyle name="Normal_AU Period 2 Rev 4-27-00 2" xfId="257" xr:uid="{00000000-0005-0000-0000-00009B010000}"/>
    <cellStyle name="Normal_DeprRateAuth East Dave Davis" xfId="258" xr:uid="{00000000-0005-0000-0000-00009C010000}"/>
    <cellStyle name="Normal_DeprRateAuth East Dave Davis 2 2" xfId="528" xr:uid="{00000000-0005-0000-0000-00009D010000}"/>
    <cellStyle name="Normal_FN1 Ratebase Draft SPP template (6-11-04) v2" xfId="259" xr:uid="{00000000-0005-0000-0000-00009E010000}"/>
    <cellStyle name="Normal_I&amp;M-AK-1" xfId="260" xr:uid="{00000000-0005-0000-0000-00009F010000}"/>
    <cellStyle name="Normal_Revised 1-21-10  Deprec Summary" xfId="261" xr:uid="{00000000-0005-0000-0000-0000A0010000}"/>
    <cellStyle name="Normal_Schedule O Info for Mike" xfId="262" xr:uid="{00000000-0005-0000-0000-0000A1010000}"/>
    <cellStyle name="Normal_spp calc - revsd rev crd" xfId="263" xr:uid="{00000000-0005-0000-0000-0000A2010000}"/>
    <cellStyle name="Note" xfId="264" builtinId="10" customBuiltin="1"/>
    <cellStyle name="Note 2" xfId="265" xr:uid="{00000000-0005-0000-0000-0000A4010000}"/>
    <cellStyle name="Output" xfId="266" builtinId="21" customBuiltin="1"/>
    <cellStyle name="Output 2" xfId="267" xr:uid="{00000000-0005-0000-0000-0000A6010000}"/>
    <cellStyle name="Percent" xfId="268" builtinId="5"/>
    <cellStyle name="Percent 10" xfId="484" xr:uid="{00000000-0005-0000-0000-0000A8010000}"/>
    <cellStyle name="Percent 11" xfId="524" xr:uid="{00000000-0005-0000-0000-0000A9010000}"/>
    <cellStyle name="Percent 12" xfId="532" xr:uid="{00000000-0005-0000-0000-0000AA010000}"/>
    <cellStyle name="Percent 13" xfId="536" xr:uid="{08FF61E9-EC7A-4589-915F-112476002267}"/>
    <cellStyle name="Percent 2" xfId="269" xr:uid="{00000000-0005-0000-0000-0000AB010000}"/>
    <cellStyle name="Percent 2 2" xfId="270" xr:uid="{00000000-0005-0000-0000-0000AC010000}"/>
    <cellStyle name="Percent 2 2 2" xfId="486" xr:uid="{00000000-0005-0000-0000-0000AD010000}"/>
    <cellStyle name="Percent 2 3" xfId="485" xr:uid="{00000000-0005-0000-0000-0000AE010000}"/>
    <cellStyle name="Percent 3" xfId="271" xr:uid="{00000000-0005-0000-0000-0000AF010000}"/>
    <cellStyle name="Percent 3 2" xfId="272" xr:uid="{00000000-0005-0000-0000-0000B0010000}"/>
    <cellStyle name="Percent 3 2 2" xfId="488" xr:uid="{00000000-0005-0000-0000-0000B1010000}"/>
    <cellStyle name="Percent 3 3" xfId="273" xr:uid="{00000000-0005-0000-0000-0000B2010000}"/>
    <cellStyle name="Percent 3 3 2" xfId="274" xr:uid="{00000000-0005-0000-0000-0000B3010000}"/>
    <cellStyle name="Percent 3 3 2 2" xfId="490" xr:uid="{00000000-0005-0000-0000-0000B4010000}"/>
    <cellStyle name="Percent 3 3 3" xfId="275" xr:uid="{00000000-0005-0000-0000-0000B5010000}"/>
    <cellStyle name="Percent 3 3 3 2" xfId="491" xr:uid="{00000000-0005-0000-0000-0000B6010000}"/>
    <cellStyle name="Percent 3 3 4" xfId="489" xr:uid="{00000000-0005-0000-0000-0000B7010000}"/>
    <cellStyle name="Percent 3 4" xfId="276" xr:uid="{00000000-0005-0000-0000-0000B8010000}"/>
    <cellStyle name="Percent 3 4 2" xfId="277" xr:uid="{00000000-0005-0000-0000-0000B9010000}"/>
    <cellStyle name="Percent 3 4 2 2" xfId="493" xr:uid="{00000000-0005-0000-0000-0000BA010000}"/>
    <cellStyle name="Percent 3 4 3" xfId="278" xr:uid="{00000000-0005-0000-0000-0000BB010000}"/>
    <cellStyle name="Percent 3 4 3 2" xfId="494" xr:uid="{00000000-0005-0000-0000-0000BC010000}"/>
    <cellStyle name="Percent 3 4 4" xfId="492" xr:uid="{00000000-0005-0000-0000-0000BD010000}"/>
    <cellStyle name="Percent 3 5" xfId="279" xr:uid="{00000000-0005-0000-0000-0000BE010000}"/>
    <cellStyle name="Percent 3 5 2" xfId="495" xr:uid="{00000000-0005-0000-0000-0000BF010000}"/>
    <cellStyle name="Percent 3 6" xfId="280" xr:uid="{00000000-0005-0000-0000-0000C0010000}"/>
    <cellStyle name="Percent 3 6 2" xfId="281" xr:uid="{00000000-0005-0000-0000-0000C1010000}"/>
    <cellStyle name="Percent 3 6 2 2" xfId="497" xr:uid="{00000000-0005-0000-0000-0000C2010000}"/>
    <cellStyle name="Percent 3 6 3" xfId="496" xr:uid="{00000000-0005-0000-0000-0000C3010000}"/>
    <cellStyle name="Percent 3 7" xfId="282" xr:uid="{00000000-0005-0000-0000-0000C4010000}"/>
    <cellStyle name="Percent 3 7 2" xfId="498" xr:uid="{00000000-0005-0000-0000-0000C5010000}"/>
    <cellStyle name="Percent 3 8" xfId="499" xr:uid="{00000000-0005-0000-0000-0000C6010000}"/>
    <cellStyle name="Percent 3 9" xfId="487" xr:uid="{00000000-0005-0000-0000-0000C7010000}"/>
    <cellStyle name="Percent 4" xfId="283" xr:uid="{00000000-0005-0000-0000-0000C8010000}"/>
    <cellStyle name="Percent 4 2" xfId="284" xr:uid="{00000000-0005-0000-0000-0000C9010000}"/>
    <cellStyle name="Percent 4 2 2" xfId="501" xr:uid="{00000000-0005-0000-0000-0000CA010000}"/>
    <cellStyle name="Percent 4 3" xfId="285" xr:uid="{00000000-0005-0000-0000-0000CB010000}"/>
    <cellStyle name="Percent 4 3 2" xfId="502" xr:uid="{00000000-0005-0000-0000-0000CC010000}"/>
    <cellStyle name="Percent 4 4" xfId="500" xr:uid="{00000000-0005-0000-0000-0000CD010000}"/>
    <cellStyle name="Percent 5" xfId="286" xr:uid="{00000000-0005-0000-0000-0000CE010000}"/>
    <cellStyle name="Percent 5 2" xfId="287" xr:uid="{00000000-0005-0000-0000-0000CF010000}"/>
    <cellStyle name="Percent 5 2 2" xfId="504" xr:uid="{00000000-0005-0000-0000-0000D0010000}"/>
    <cellStyle name="Percent 5 3" xfId="503" xr:uid="{00000000-0005-0000-0000-0000D1010000}"/>
    <cellStyle name="Percent 6" xfId="288" xr:uid="{00000000-0005-0000-0000-0000D2010000}"/>
    <cellStyle name="Percent 6 2" xfId="505" xr:uid="{00000000-0005-0000-0000-0000D3010000}"/>
    <cellStyle name="Percent 7" xfId="289" xr:uid="{00000000-0005-0000-0000-0000D4010000}"/>
    <cellStyle name="Percent 7 2" xfId="290" xr:uid="{00000000-0005-0000-0000-0000D5010000}"/>
    <cellStyle name="Percent 7 2 2" xfId="507" xr:uid="{00000000-0005-0000-0000-0000D6010000}"/>
    <cellStyle name="Percent 7 3" xfId="291" xr:uid="{00000000-0005-0000-0000-0000D7010000}"/>
    <cellStyle name="Percent 7 3 2" xfId="508" xr:uid="{00000000-0005-0000-0000-0000D8010000}"/>
    <cellStyle name="Percent 7 4" xfId="506" xr:uid="{00000000-0005-0000-0000-0000D9010000}"/>
    <cellStyle name="Percent 8" xfId="292" xr:uid="{00000000-0005-0000-0000-0000DA010000}"/>
    <cellStyle name="Percent 8 2" xfId="509" xr:uid="{00000000-0005-0000-0000-0000DB010000}"/>
    <cellStyle name="Percent 9" xfId="510" xr:uid="{00000000-0005-0000-0000-0000DC010000}"/>
    <cellStyle name="PSChar" xfId="293" xr:uid="{00000000-0005-0000-0000-0000DD010000}"/>
    <cellStyle name="PSDate" xfId="294" xr:uid="{00000000-0005-0000-0000-0000DE010000}"/>
    <cellStyle name="PSDec" xfId="295" xr:uid="{00000000-0005-0000-0000-0000DF010000}"/>
    <cellStyle name="PSdesc" xfId="296" xr:uid="{00000000-0005-0000-0000-0000E0010000}"/>
    <cellStyle name="PSdesc 2" xfId="511" xr:uid="{00000000-0005-0000-0000-0000E1010000}"/>
    <cellStyle name="PSHeading" xfId="297" xr:uid="{00000000-0005-0000-0000-0000E2010000}"/>
    <cellStyle name="PSInt" xfId="298" xr:uid="{00000000-0005-0000-0000-0000E3010000}"/>
    <cellStyle name="PSSpacer" xfId="299" xr:uid="{00000000-0005-0000-0000-0000E4010000}"/>
    <cellStyle name="PStest" xfId="300" xr:uid="{00000000-0005-0000-0000-0000E5010000}"/>
    <cellStyle name="PStest 2" xfId="512" xr:uid="{00000000-0005-0000-0000-0000E6010000}"/>
    <cellStyle name="R00A" xfId="301" xr:uid="{00000000-0005-0000-0000-0000E7010000}"/>
    <cellStyle name="R00B" xfId="302" xr:uid="{00000000-0005-0000-0000-0000E8010000}"/>
    <cellStyle name="R00L" xfId="303" xr:uid="{00000000-0005-0000-0000-0000E9010000}"/>
    <cellStyle name="R01A" xfId="304" xr:uid="{00000000-0005-0000-0000-0000EA010000}"/>
    <cellStyle name="R01B" xfId="305" xr:uid="{00000000-0005-0000-0000-0000EB010000}"/>
    <cellStyle name="R01H" xfId="306" xr:uid="{00000000-0005-0000-0000-0000EC010000}"/>
    <cellStyle name="R01L" xfId="307" xr:uid="{00000000-0005-0000-0000-0000ED010000}"/>
    <cellStyle name="R02A" xfId="308" xr:uid="{00000000-0005-0000-0000-0000EE010000}"/>
    <cellStyle name="R02B" xfId="309" xr:uid="{00000000-0005-0000-0000-0000EF010000}"/>
    <cellStyle name="R02B 2" xfId="513" xr:uid="{00000000-0005-0000-0000-0000F0010000}"/>
    <cellStyle name="R02H" xfId="310" xr:uid="{00000000-0005-0000-0000-0000F1010000}"/>
    <cellStyle name="R02L" xfId="311" xr:uid="{00000000-0005-0000-0000-0000F2010000}"/>
    <cellStyle name="R03A" xfId="312" xr:uid="{00000000-0005-0000-0000-0000F3010000}"/>
    <cellStyle name="R03B" xfId="313" xr:uid="{00000000-0005-0000-0000-0000F4010000}"/>
    <cellStyle name="R03B 2" xfId="514" xr:uid="{00000000-0005-0000-0000-0000F5010000}"/>
    <cellStyle name="R03H" xfId="314" xr:uid="{00000000-0005-0000-0000-0000F6010000}"/>
    <cellStyle name="R03L" xfId="315" xr:uid="{00000000-0005-0000-0000-0000F7010000}"/>
    <cellStyle name="R04A" xfId="316" xr:uid="{00000000-0005-0000-0000-0000F8010000}"/>
    <cellStyle name="R04B" xfId="317" xr:uid="{00000000-0005-0000-0000-0000F9010000}"/>
    <cellStyle name="R04B 2" xfId="515" xr:uid="{00000000-0005-0000-0000-0000FA010000}"/>
    <cellStyle name="R04H" xfId="318" xr:uid="{00000000-0005-0000-0000-0000FB010000}"/>
    <cellStyle name="R04L" xfId="319" xr:uid="{00000000-0005-0000-0000-0000FC010000}"/>
    <cellStyle name="R05A" xfId="320" xr:uid="{00000000-0005-0000-0000-0000FD010000}"/>
    <cellStyle name="R05B" xfId="321" xr:uid="{00000000-0005-0000-0000-0000FE010000}"/>
    <cellStyle name="R05B 2" xfId="516" xr:uid="{00000000-0005-0000-0000-0000FF010000}"/>
    <cellStyle name="R05H" xfId="322" xr:uid="{00000000-0005-0000-0000-000000020000}"/>
    <cellStyle name="R05L" xfId="323" xr:uid="{00000000-0005-0000-0000-000001020000}"/>
    <cellStyle name="R05L 2" xfId="517" xr:uid="{00000000-0005-0000-0000-000002020000}"/>
    <cellStyle name="R06A" xfId="324" xr:uid="{00000000-0005-0000-0000-000003020000}"/>
    <cellStyle name="R06B" xfId="325" xr:uid="{00000000-0005-0000-0000-000004020000}"/>
    <cellStyle name="R06B 2" xfId="518" xr:uid="{00000000-0005-0000-0000-000005020000}"/>
    <cellStyle name="R06H" xfId="326" xr:uid="{00000000-0005-0000-0000-000006020000}"/>
    <cellStyle name="R06L" xfId="327" xr:uid="{00000000-0005-0000-0000-000007020000}"/>
    <cellStyle name="R07A" xfId="328" xr:uid="{00000000-0005-0000-0000-000008020000}"/>
    <cellStyle name="R07B" xfId="329" xr:uid="{00000000-0005-0000-0000-000009020000}"/>
    <cellStyle name="R07B 2" xfId="519" xr:uid="{00000000-0005-0000-0000-00000A020000}"/>
    <cellStyle name="R07H" xfId="330" xr:uid="{00000000-0005-0000-0000-00000B020000}"/>
    <cellStyle name="R07L" xfId="331" xr:uid="{00000000-0005-0000-0000-00000C020000}"/>
    <cellStyle name="Title" xfId="332" builtinId="15" customBuiltin="1"/>
    <cellStyle name="Title 2" xfId="333" xr:uid="{00000000-0005-0000-0000-00000E020000}"/>
    <cellStyle name="Total" xfId="334" builtinId="25" customBuiltin="1"/>
    <cellStyle name="Total 2" xfId="335" xr:uid="{00000000-0005-0000-0000-000010020000}"/>
    <cellStyle name="Total 2 2" xfId="521" xr:uid="{00000000-0005-0000-0000-000011020000}"/>
    <cellStyle name="Total 3" xfId="520" xr:uid="{00000000-0005-0000-0000-000012020000}"/>
    <cellStyle name="Warning Text" xfId="336" builtinId="11" customBuiltin="1"/>
    <cellStyle name="Warning Text 2" xfId="337" xr:uid="{00000000-0005-0000-0000-000014020000}"/>
  </cellStyles>
  <dxfs count="18">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393"/>
  <sheetViews>
    <sheetView tabSelected="1" view="pageBreakPreview" zoomScale="75" zoomScaleNormal="85" zoomScaleSheetLayoutView="75" zoomScalePageLayoutView="50" workbookViewId="0">
      <selection activeCell="D3" sqref="D3"/>
    </sheetView>
  </sheetViews>
  <sheetFormatPr defaultColWidth="11.42578125" defaultRowHeight="15"/>
  <cols>
    <col min="1" max="1" width="4.5703125" style="233" customWidth="1"/>
    <col min="2" max="2" width="7.85546875" style="232" customWidth="1"/>
    <col min="3" max="3" width="1.85546875" style="233" customWidth="1"/>
    <col min="4" max="4" width="70.140625" style="233" customWidth="1"/>
    <col min="5" max="5" width="25.5703125" style="233" customWidth="1"/>
    <col min="6" max="6" width="22.42578125" style="233" customWidth="1"/>
    <col min="7" max="7" width="20.5703125" style="233" customWidth="1"/>
    <col min="8" max="8" width="16.140625" style="233" customWidth="1"/>
    <col min="9" max="9" width="11.42578125" style="233" customWidth="1"/>
    <col min="10" max="10" width="21.5703125" style="233" bestFit="1" customWidth="1"/>
    <col min="11" max="11" width="4.5703125" style="233" customWidth="1"/>
    <col min="12" max="12" width="23" style="233" customWidth="1"/>
    <col min="13" max="13" width="5" style="233" customWidth="1"/>
    <col min="14" max="14" width="31.140625" style="233" customWidth="1"/>
    <col min="15" max="15" width="8.140625" style="233" customWidth="1"/>
    <col min="16" max="16" width="21.85546875" style="233" customWidth="1"/>
    <col min="17" max="17" width="11.42578125" style="233" customWidth="1"/>
    <col min="18" max="18" width="20.5703125" style="233" bestFit="1" customWidth="1"/>
    <col min="19" max="16384" width="11.42578125" style="233"/>
  </cols>
  <sheetData>
    <row r="1" spans="1:15" ht="15.75">
      <c r="A1" s="651" t="s">
        <v>114</v>
      </c>
    </row>
    <row r="2" spans="1:15" ht="15.75">
      <c r="A2" s="651" t="s">
        <v>114</v>
      </c>
    </row>
    <row r="3" spans="1:15" ht="15.75">
      <c r="A3" s="233" t="s">
        <v>114</v>
      </c>
      <c r="D3"/>
      <c r="E3" s="234"/>
      <c r="F3" s="234"/>
      <c r="G3" s="235"/>
      <c r="I3" s="236"/>
      <c r="J3" s="236"/>
      <c r="K3" s="236"/>
    </row>
    <row r="4" spans="1:15">
      <c r="J4" s="233" t="s">
        <v>813</v>
      </c>
      <c r="L4" s="598">
        <v>2025</v>
      </c>
    </row>
    <row r="5" spans="1:15">
      <c r="D5" s="237"/>
      <c r="E5" s="237"/>
      <c r="F5" s="28" t="s">
        <v>385</v>
      </c>
      <c r="G5" s="11"/>
      <c r="H5" s="11"/>
      <c r="J5" s="237"/>
      <c r="K5" s="237"/>
      <c r="L5" s="237"/>
      <c r="M5" s="238"/>
      <c r="O5" s="239"/>
    </row>
    <row r="6" spans="1:15">
      <c r="D6" s="237"/>
      <c r="E6" s="240"/>
      <c r="F6" s="28" t="s">
        <v>386</v>
      </c>
      <c r="G6" s="11"/>
      <c r="H6" s="11"/>
      <c r="J6" s="240"/>
      <c r="K6" s="237"/>
      <c r="L6" s="237"/>
      <c r="M6" s="238"/>
    </row>
    <row r="7" spans="1:15">
      <c r="D7" s="237"/>
      <c r="E7" s="237"/>
      <c r="F7" s="2" t="str">
        <f>"Utilizing  Actual/Projected FERC Form 1 Data"</f>
        <v>Utilizing  Actual/Projected FERC Form 1 Data</v>
      </c>
      <c r="G7" s="11"/>
      <c r="H7" s="11"/>
      <c r="J7" s="237"/>
      <c r="K7" s="237"/>
      <c r="L7" s="237"/>
      <c r="M7" s="238"/>
    </row>
    <row r="8" spans="1:15">
      <c r="B8" s="241"/>
      <c r="C8" s="242"/>
      <c r="D8" s="237"/>
      <c r="H8" s="243"/>
      <c r="I8" s="243"/>
      <c r="J8" s="243"/>
      <c r="K8" s="243"/>
      <c r="L8" s="237"/>
      <c r="M8" s="237"/>
    </row>
    <row r="9" spans="1:15" ht="15.75">
      <c r="B9" s="241"/>
      <c r="C9" s="242"/>
      <c r="D9"/>
      <c r="E9" s="237"/>
      <c r="F9" s="244" t="s">
        <v>798</v>
      </c>
      <c r="G9" s="245"/>
      <c r="H9" s="237"/>
      <c r="I9" s="237"/>
      <c r="J9" s="237"/>
      <c r="K9" s="237"/>
      <c r="L9"/>
      <c r="M9" s="237"/>
    </row>
    <row r="10" spans="1:15">
      <c r="B10" s="241"/>
      <c r="C10" s="242"/>
      <c r="D10" s="237"/>
      <c r="E10" s="237"/>
      <c r="F10" s="246"/>
      <c r="G10" s="245"/>
      <c r="H10" s="237"/>
      <c r="I10" s="237"/>
      <c r="J10" s="237"/>
      <c r="K10" s="237"/>
      <c r="L10"/>
      <c r="M10" s="237"/>
    </row>
    <row r="11" spans="1:15">
      <c r="B11" s="241" t="s">
        <v>169</v>
      </c>
      <c r="C11" s="242"/>
      <c r="D11" s="237"/>
      <c r="E11" s="237"/>
      <c r="F11" s="237"/>
      <c r="G11" s="245"/>
      <c r="H11" s="237"/>
      <c r="I11" s="237"/>
      <c r="J11" s="237"/>
      <c r="K11" s="237"/>
      <c r="L11" s="242" t="s">
        <v>115</v>
      </c>
      <c r="M11" s="237"/>
    </row>
    <row r="12" spans="1:15" ht="15.75" thickBot="1">
      <c r="B12" s="247" t="s">
        <v>117</v>
      </c>
      <c r="C12" s="242"/>
      <c r="D12" s="237"/>
      <c r="E12" s="242"/>
      <c r="F12" s="237"/>
      <c r="G12" s="237"/>
      <c r="H12" s="237"/>
      <c r="I12" s="237"/>
      <c r="J12" s="237"/>
      <c r="K12" s="237"/>
      <c r="L12" s="248" t="s">
        <v>170</v>
      </c>
      <c r="M12" s="237"/>
    </row>
    <row r="13" spans="1:15">
      <c r="B13" s="241">
        <f>1</f>
        <v>1</v>
      </c>
      <c r="C13" s="242"/>
      <c r="D13" s="11" t="s">
        <v>111</v>
      </c>
      <c r="E13" s="237" t="str">
        <f>"(ln "&amp;B221&amp;")"</f>
        <v>(ln 130)</v>
      </c>
      <c r="F13" s="237"/>
      <c r="G13" s="240"/>
      <c r="H13" s="249"/>
      <c r="I13" s="237"/>
      <c r="J13" s="237"/>
      <c r="K13" s="237"/>
      <c r="L13" s="250">
        <f>+L221</f>
        <v>17001499.509647798</v>
      </c>
      <c r="M13" s="237"/>
    </row>
    <row r="14" spans="1:15" ht="15.75" thickBot="1">
      <c r="B14" s="241"/>
      <c r="C14" s="242"/>
      <c r="E14" s="251"/>
      <c r="F14" s="240"/>
      <c r="G14" s="248" t="s">
        <v>118</v>
      </c>
      <c r="H14" s="240"/>
      <c r="I14" s="252" t="s">
        <v>119</v>
      </c>
      <c r="J14" s="252"/>
      <c r="K14" s="237"/>
      <c r="L14" s="240"/>
      <c r="M14" s="237"/>
    </row>
    <row r="15" spans="1:15">
      <c r="B15" s="241">
        <f>+B13+1</f>
        <v>2</v>
      </c>
      <c r="C15" s="242"/>
      <c r="D15" s="11" t="s">
        <v>168</v>
      </c>
      <c r="E15" s="251" t="s">
        <v>611</v>
      </c>
      <c r="F15" s="240"/>
      <c r="G15" s="253">
        <f>+'WS E Rev Credits'!K31</f>
        <v>2955769.7460000003</v>
      </c>
      <c r="H15" s="240"/>
      <c r="I15" s="254" t="s">
        <v>129</v>
      </c>
      <c r="J15" s="255">
        <v>1</v>
      </c>
      <c r="K15" s="240"/>
      <c r="L15" s="256">
        <f>+J15*G15</f>
        <v>2955769.7460000003</v>
      </c>
      <c r="M15" s="237"/>
    </row>
    <row r="16" spans="1:15">
      <c r="B16" s="241"/>
      <c r="C16" s="242"/>
      <c r="D16" s="11"/>
      <c r="F16" s="240"/>
      <c r="L16" s="257"/>
      <c r="M16" s="237"/>
    </row>
    <row r="17" spans="2:13">
      <c r="B17" s="241"/>
      <c r="C17" s="242"/>
      <c r="D17" s="11"/>
      <c r="F17" s="240"/>
      <c r="M17" s="237"/>
    </row>
    <row r="18" spans="2:13">
      <c r="B18" s="241">
        <f>+B15+1</f>
        <v>3</v>
      </c>
      <c r="C18" s="242"/>
      <c r="D18" s="11" t="s">
        <v>533</v>
      </c>
      <c r="E18" s="233" t="s">
        <v>612</v>
      </c>
      <c r="F18" s="240"/>
      <c r="L18" s="256">
        <f>'WS E Rev Credits'!K39</f>
        <v>0</v>
      </c>
      <c r="M18" s="237"/>
    </row>
    <row r="19" spans="2:13">
      <c r="B19" s="241"/>
      <c r="C19" s="242"/>
      <c r="D19" s="11"/>
      <c r="F19" s="240"/>
      <c r="M19" s="237"/>
    </row>
    <row r="20" spans="2:13" ht="15.75" thickBot="1">
      <c r="B20" s="241">
        <f>+B18+1</f>
        <v>4</v>
      </c>
      <c r="C20" s="242"/>
      <c r="D20" s="258" t="s">
        <v>463</v>
      </c>
      <c r="E20" s="251" t="str">
        <f>"(ln "&amp;B13&amp;" less  ln " &amp;B15&amp;" plus ln "&amp;B18&amp;")"</f>
        <v>(ln 1 less  ln 2 plus ln 3)</v>
      </c>
      <c r="F20" s="237"/>
      <c r="H20" s="240"/>
      <c r="I20" s="254"/>
      <c r="J20" s="240"/>
      <c r="K20" s="240"/>
      <c r="L20" s="259">
        <f>+L13-L15+L18</f>
        <v>14045729.763647798</v>
      </c>
      <c r="M20" s="237"/>
    </row>
    <row r="21" spans="2:13" ht="15.75" thickTop="1">
      <c r="B21" s="241"/>
      <c r="C21" s="242"/>
      <c r="D21" s="258"/>
      <c r="E21" s="251"/>
      <c r="F21" s="237"/>
      <c r="H21" s="240"/>
      <c r="I21" s="254"/>
      <c r="J21" s="240"/>
      <c r="K21" s="240"/>
      <c r="L21" s="256"/>
      <c r="M21" s="237"/>
    </row>
    <row r="22" spans="2:13">
      <c r="B22" s="241"/>
      <c r="C22" s="242"/>
      <c r="D22" s="258"/>
      <c r="E22" s="251"/>
      <c r="F22" s="237"/>
      <c r="H22" s="240"/>
      <c r="I22" s="254"/>
      <c r="J22" s="240"/>
      <c r="K22" s="240"/>
      <c r="L22" s="256"/>
      <c r="M22" s="237"/>
    </row>
    <row r="23" spans="2:13">
      <c r="B23" s="241"/>
      <c r="C23" s="242"/>
      <c r="D23" s="11"/>
      <c r="E23" s="251"/>
      <c r="F23" s="237"/>
      <c r="H23" s="240"/>
      <c r="I23" s="254"/>
      <c r="J23" s="240"/>
      <c r="K23" s="240"/>
      <c r="L23" s="256"/>
      <c r="M23" s="237"/>
    </row>
    <row r="24" spans="2:13" ht="15" customHeight="1">
      <c r="B24" s="1245"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45"/>
      <c r="D24" s="1245"/>
      <c r="E24" s="1245"/>
      <c r="F24" s="1245"/>
      <c r="G24" s="1245"/>
      <c r="H24" s="1245"/>
      <c r="I24" s="1245"/>
    </row>
    <row r="25" spans="2:13" ht="35.25" customHeight="1">
      <c r="B25" s="1245"/>
      <c r="C25" s="1245"/>
      <c r="D25" s="1245"/>
      <c r="E25" s="1245"/>
      <c r="F25" s="1245"/>
      <c r="G25" s="1245"/>
      <c r="H25" s="1245"/>
      <c r="I25" s="1245"/>
    </row>
    <row r="26" spans="2:13" ht="15" customHeight="1">
      <c r="B26" s="260"/>
      <c r="C26" s="260"/>
      <c r="D26" s="260"/>
      <c r="E26" s="260"/>
      <c r="F26" s="260"/>
      <c r="G26" s="260"/>
      <c r="H26" s="260"/>
      <c r="I26" s="260"/>
    </row>
    <row r="27" spans="2:13">
      <c r="B27" s="241">
        <f>+B20+1</f>
        <v>5</v>
      </c>
      <c r="C27" s="242"/>
      <c r="D27" s="11" t="s">
        <v>534</v>
      </c>
      <c r="E27" s="251"/>
      <c r="F27" s="240"/>
      <c r="G27" s="253">
        <f>'WS K TRUE-UP RTEP RR'!N22</f>
        <v>109994.82903209761</v>
      </c>
      <c r="H27" s="240"/>
      <c r="I27" s="254" t="s">
        <v>129</v>
      </c>
      <c r="J27" s="255">
        <v>1</v>
      </c>
      <c r="K27" s="237"/>
      <c r="L27" s="256">
        <f>+J27*G27</f>
        <v>109994.82903209761</v>
      </c>
      <c r="M27" s="237"/>
    </row>
    <row r="28" spans="2:13">
      <c r="B28" s="241"/>
      <c r="C28" s="242"/>
      <c r="D28" s="11"/>
      <c r="E28" s="251"/>
      <c r="F28" s="240"/>
      <c r="G28" s="253"/>
      <c r="H28" s="240"/>
      <c r="I28" s="240"/>
      <c r="J28" s="255"/>
      <c r="K28" s="237"/>
      <c r="L28" s="256"/>
      <c r="M28" s="237"/>
    </row>
    <row r="29" spans="2:13">
      <c r="B29" s="241">
        <f>+B27+1</f>
        <v>6</v>
      </c>
      <c r="C29" s="242"/>
      <c r="D29" s="11" t="s">
        <v>373</v>
      </c>
      <c r="E29" s="251"/>
      <c r="F29" s="237"/>
      <c r="G29" s="261"/>
      <c r="H29" s="237"/>
      <c r="J29" s="237"/>
      <c r="K29" s="237"/>
      <c r="M29" s="237"/>
    </row>
    <row r="30" spans="2:13">
      <c r="B30" s="241">
        <f>B29+1</f>
        <v>7</v>
      </c>
      <c r="C30" s="242"/>
      <c r="D30" s="237" t="s">
        <v>250</v>
      </c>
      <c r="E30" s="237" t="str">
        <f>"( (ln "&amp;B13&amp;" - ln "&amp;B175&amp;")/((ln "&amp;$B$95&amp;") x 100) )"</f>
        <v>( (ln 1 - ln 95)/((ln 42) x 100) )</v>
      </c>
      <c r="F30" s="242"/>
      <c r="G30" s="242"/>
      <c r="H30" s="242"/>
      <c r="I30" s="262"/>
      <c r="J30" s="262"/>
      <c r="K30" s="262"/>
      <c r="L30" s="263">
        <f>(L13-L175)/L$95</f>
        <v>0.12872705803404569</v>
      </c>
      <c r="M30" s="237"/>
    </row>
    <row r="31" spans="2:13">
      <c r="B31" s="241">
        <f>B30+1</f>
        <v>8</v>
      </c>
      <c r="C31" s="242"/>
      <c r="D31" s="237" t="s">
        <v>251</v>
      </c>
      <c r="E31" s="237" t="str">
        <f>"(ln "&amp;B30&amp;" / 12)"</f>
        <v>(ln 7 / 12)</v>
      </c>
      <c r="F31" s="242"/>
      <c r="G31" s="242"/>
      <c r="H31" s="242"/>
      <c r="I31" s="262"/>
      <c r="J31" s="262"/>
      <c r="K31" s="262"/>
      <c r="L31" s="263">
        <f>L30/12</f>
        <v>1.0727254836170473E-2</v>
      </c>
      <c r="M31" s="237"/>
    </row>
    <row r="32" spans="2:13">
      <c r="B32" s="241"/>
      <c r="C32" s="242"/>
      <c r="D32" s="237"/>
      <c r="E32" s="237"/>
      <c r="F32" s="242"/>
      <c r="G32" s="242"/>
      <c r="H32" s="242"/>
      <c r="I32" s="262"/>
      <c r="J32" s="262"/>
      <c r="K32" s="262"/>
      <c r="L32" s="263"/>
      <c r="M32" s="237"/>
    </row>
    <row r="33" spans="2:13">
      <c r="B33" s="241">
        <f>B31+1</f>
        <v>9</v>
      </c>
      <c r="C33" s="242"/>
      <c r="D33" s="11" t="str">
        <f>"NET PLANT CARRYING CHARGE ON LINE "&amp;B30&amp;" , w/o depreciation or ROE incentives (Note B)"</f>
        <v>NET PLANT CARRYING CHARGE ON LINE 7 , w/o depreciation or ROE incentives (Note B)</v>
      </c>
      <c r="E33" s="237"/>
      <c r="F33" s="242"/>
      <c r="G33" s="242"/>
      <c r="H33" s="242"/>
      <c r="I33" s="262"/>
      <c r="J33" s="262"/>
      <c r="K33" s="262"/>
      <c r="L33" s="263"/>
      <c r="M33" s="237"/>
    </row>
    <row r="34" spans="2:13">
      <c r="B34" s="241">
        <f>B33+1</f>
        <v>10</v>
      </c>
      <c r="C34" s="242"/>
      <c r="D34" s="237" t="s">
        <v>250</v>
      </c>
      <c r="E34" s="237" t="str">
        <f>"( (ln "&amp;B13&amp;" - ln "&amp;B175&amp;" - ln "&amp;B181&amp;" ) /((ln "&amp;$B$95&amp;") x 100) )"</f>
        <v>( (ln 1 - ln 95 - ln 100 ) /((ln 42) x 100) )</v>
      </c>
      <c r="F34" s="242"/>
      <c r="G34" s="242"/>
      <c r="H34" s="242"/>
      <c r="I34" s="262"/>
      <c r="J34" s="262"/>
      <c r="K34" s="262"/>
      <c r="L34" s="263">
        <f>(L13-L175-L181)/L95</f>
        <v>0.10276472848015532</v>
      </c>
      <c r="M34" s="237"/>
    </row>
    <row r="35" spans="2:13">
      <c r="B35" s="241"/>
      <c r="C35" s="242"/>
      <c r="D35" s="237"/>
      <c r="E35" s="237"/>
      <c r="F35" s="242"/>
      <c r="G35" s="242"/>
      <c r="H35" s="242"/>
      <c r="I35" s="262"/>
      <c r="J35" s="262"/>
      <c r="K35" s="262"/>
      <c r="L35" s="263"/>
      <c r="M35" s="237"/>
    </row>
    <row r="36" spans="2:13">
      <c r="B36" s="241">
        <f>B34+1</f>
        <v>11</v>
      </c>
      <c r="C36" s="242"/>
      <c r="D36" s="11" t="str">
        <f>"NET PLANT CARRYING CHARGE ON LINE "&amp;B34&amp;", w/o Return, income taxes or ROE incentives (Note B)"</f>
        <v>NET PLANT CARRYING CHARGE ON LINE 10, w/o Return, income taxes or ROE incentives (Note B)</v>
      </c>
      <c r="E36" s="237"/>
      <c r="F36" s="67"/>
      <c r="G36" s="67"/>
      <c r="H36" s="67"/>
      <c r="I36" s="67"/>
      <c r="J36" s="67"/>
      <c r="K36" s="67"/>
      <c r="L36" s="67"/>
      <c r="M36"/>
    </row>
    <row r="37" spans="2:13">
      <c r="B37" s="241">
        <f>B36+1</f>
        <v>12</v>
      </c>
      <c r="C37" s="242"/>
      <c r="D37" s="237" t="s">
        <v>250</v>
      </c>
      <c r="E37" s="237" t="str">
        <f>"( (ln "&amp;B13&amp;" - ln "&amp;B175&amp;" - ln "&amp;B181&amp;" - ln "&amp;B211&amp;" - ln "&amp;B213&amp;") /((ln "&amp;$B$95&amp;") x 100) )"</f>
        <v>( (ln 1 - ln 95 - ln 100 - ln 125 - ln 126) /((ln 42) x 100) )</v>
      </c>
      <c r="F37" s="67"/>
      <c r="G37" s="67"/>
      <c r="H37" s="67"/>
      <c r="I37" s="67"/>
      <c r="J37" s="67"/>
      <c r="K37" s="67"/>
      <c r="L37" s="264">
        <f>(L13-L175-L181-L211-L213)/L95</f>
        <v>2.6476911437872591E-2</v>
      </c>
      <c r="M37"/>
    </row>
    <row r="38" spans="2:13">
      <c r="B38" s="241"/>
      <c r="C38" s="242"/>
      <c r="D38" s="237"/>
      <c r="E38" s="237"/>
      <c r="F38" s="242"/>
      <c r="G38" s="242"/>
      <c r="H38" s="242"/>
      <c r="I38" s="262"/>
      <c r="J38" s="262"/>
      <c r="K38" s="262"/>
      <c r="L38" s="263"/>
      <c r="M38" s="265"/>
    </row>
    <row r="39" spans="2:13">
      <c r="B39" s="241">
        <f>B37+1</f>
        <v>13</v>
      </c>
      <c r="C39" s="242"/>
      <c r="D39" s="11" t="s">
        <v>589</v>
      </c>
      <c r="E39" s="237"/>
      <c r="F39" s="242"/>
      <c r="G39" s="242"/>
      <c r="H39" s="242"/>
      <c r="I39" s="262"/>
      <c r="J39" s="262"/>
      <c r="K39" s="262"/>
      <c r="L39" s="266">
        <f>'WS K TRUE-UP RTEP RR'!P23</f>
        <v>0</v>
      </c>
      <c r="M39" s="237"/>
    </row>
    <row r="40" spans="2:13">
      <c r="B40" s="241"/>
      <c r="C40" s="242"/>
      <c r="E40" s="237"/>
      <c r="F40" s="242"/>
      <c r="G40" s="242"/>
      <c r="H40" s="242"/>
      <c r="I40" s="262"/>
      <c r="J40" s="262"/>
      <c r="K40" s="262"/>
      <c r="L40" s="263"/>
      <c r="M40" s="237"/>
    </row>
    <row r="41" spans="2:13">
      <c r="B41" s="233"/>
      <c r="C41" s="242"/>
      <c r="E41" s="237"/>
      <c r="F41" s="242"/>
      <c r="G41" s="242"/>
      <c r="H41" s="242"/>
      <c r="I41" s="262"/>
      <c r="J41" s="262"/>
      <c r="K41" s="262"/>
      <c r="L41" s="263"/>
      <c r="M41" s="237"/>
    </row>
    <row r="42" spans="2:13" ht="15.75">
      <c r="B42" s="241">
        <f>+B39+1</f>
        <v>14</v>
      </c>
      <c r="C42" s="242"/>
      <c r="D42" s="1225" t="s">
        <v>432</v>
      </c>
      <c r="E42" s="1225"/>
      <c r="F42" s="1225"/>
      <c r="G42" s="1225"/>
      <c r="H42" s="1225"/>
      <c r="I42" s="1225"/>
      <c r="J42" s="1225"/>
      <c r="K42" s="1225"/>
      <c r="L42" s="1225"/>
      <c r="M42" s="237"/>
    </row>
    <row r="43" spans="2:13">
      <c r="B43" s="241"/>
      <c r="C43" s="242"/>
      <c r="E43" s="237"/>
      <c r="F43" s="242"/>
      <c r="G43" s="242"/>
      <c r="H43" s="242"/>
      <c r="I43" s="262"/>
      <c r="J43" s="262"/>
      <c r="K43" s="262"/>
      <c r="L43" s="263"/>
      <c r="M43" s="237"/>
    </row>
    <row r="44" spans="2:13">
      <c r="B44" s="241">
        <f>+B42+1</f>
        <v>15</v>
      </c>
      <c r="C44" s="242"/>
      <c r="D44" s="11" t="s">
        <v>434</v>
      </c>
      <c r="E44" s="237" t="str">
        <f>"Line "&amp;B152&amp;" Below"</f>
        <v>Line 75 Below</v>
      </c>
      <c r="F44" s="242"/>
      <c r="H44" s="242"/>
      <c r="I44" s="262"/>
      <c r="J44" s="262"/>
      <c r="K44" s="262"/>
      <c r="L44" s="267">
        <f>+G152</f>
        <v>1624327.2600000002</v>
      </c>
      <c r="M44" s="237"/>
    </row>
    <row r="45" spans="2:13">
      <c r="B45" s="241">
        <f>+B44+1</f>
        <v>16</v>
      </c>
      <c r="C45" s="242"/>
      <c r="D45" s="11" t="s">
        <v>471</v>
      </c>
      <c r="E45" s="237"/>
      <c r="F45" s="242"/>
      <c r="H45" s="242"/>
      <c r="I45" s="262"/>
      <c r="J45" s="262"/>
      <c r="K45" s="262"/>
      <c r="L45" s="599">
        <f>'WS F Misc Exp'!D28</f>
        <v>1226857.5900000001</v>
      </c>
      <c r="M45" s="237"/>
    </row>
    <row r="46" spans="2:13">
      <c r="B46" s="241">
        <f>+B45+1</f>
        <v>17</v>
      </c>
      <c r="C46" s="242"/>
      <c r="D46" s="11" t="s">
        <v>472</v>
      </c>
      <c r="E46" s="237"/>
      <c r="F46" s="242"/>
      <c r="H46" s="242"/>
      <c r="I46" s="262"/>
      <c r="J46" s="262"/>
      <c r="K46" s="262"/>
      <c r="L46" s="599">
        <f>'WS F Misc Exp'!D32</f>
        <v>351245.75</v>
      </c>
      <c r="M46" s="237"/>
    </row>
    <row r="47" spans="2:13">
      <c r="B47" s="241"/>
      <c r="C47" s="242"/>
      <c r="E47" s="237"/>
      <c r="F47" s="242"/>
      <c r="H47" s="242"/>
      <c r="I47" s="262"/>
      <c r="J47" s="262"/>
      <c r="K47" s="262"/>
      <c r="L47" s="242"/>
      <c r="M47" s="237"/>
    </row>
    <row r="48" spans="2:13" ht="15.75" thickBot="1">
      <c r="B48" s="241">
        <f>+B46+1</f>
        <v>18</v>
      </c>
      <c r="C48" s="242"/>
      <c r="D48" s="11" t="s">
        <v>433</v>
      </c>
      <c r="E48" s="249" t="str">
        <f>"(Line "&amp;B44&amp;" - Line "&amp;B45&amp;" - Line "&amp;B46&amp;")"</f>
        <v>(Line 15 - Line 16 - Line 17)</v>
      </c>
      <c r="F48" s="242"/>
      <c r="H48" s="242"/>
      <c r="I48" s="262"/>
      <c r="J48" s="262"/>
      <c r="K48" s="262"/>
      <c r="L48" s="268">
        <f>+L44-L45-L46</f>
        <v>46223.920000000158</v>
      </c>
      <c r="M48" s="237"/>
    </row>
    <row r="49" spans="2:16" ht="15.75" thickTop="1">
      <c r="B49" s="241"/>
      <c r="C49" s="242"/>
      <c r="E49" s="237"/>
      <c r="F49" s="242"/>
      <c r="G49" s="242"/>
      <c r="H49" s="242"/>
      <c r="I49" s="262"/>
      <c r="J49" s="262"/>
      <c r="K49" s="262"/>
      <c r="L49" s="263"/>
      <c r="M49" s="237"/>
    </row>
    <row r="50" spans="2:16">
      <c r="B50" s="241"/>
      <c r="C50" s="242"/>
      <c r="E50" s="237"/>
      <c r="F50" s="242"/>
      <c r="G50" s="242"/>
      <c r="H50" s="242"/>
      <c r="I50" s="262"/>
      <c r="J50" s="262"/>
      <c r="K50" s="262"/>
      <c r="L50" s="263"/>
      <c r="M50" s="237"/>
    </row>
    <row r="51" spans="2:16">
      <c r="B51" s="241"/>
      <c r="C51" s="242"/>
      <c r="E51" s="237"/>
      <c r="F51" s="242"/>
      <c r="G51" s="242"/>
      <c r="H51" s="242"/>
      <c r="I51" s="262"/>
      <c r="J51" s="262"/>
      <c r="K51" s="262"/>
      <c r="L51" s="263"/>
      <c r="M51" s="237"/>
    </row>
    <row r="52" spans="2:16">
      <c r="D52" s="237"/>
      <c r="E52" s="237"/>
      <c r="G52" s="249"/>
      <c r="H52" s="237"/>
      <c r="I52" s="237"/>
      <c r="J52" s="237"/>
      <c r="K52" s="237"/>
      <c r="L52" s="237"/>
      <c r="M52" s="269"/>
    </row>
    <row r="53" spans="2:16">
      <c r="D53" s="237"/>
      <c r="E53" s="237"/>
      <c r="F53" s="242"/>
      <c r="G53" s="249"/>
      <c r="H53" s="237"/>
      <c r="I53" s="237"/>
      <c r="J53" s="237"/>
      <c r="K53" s="237"/>
      <c r="L53" s="237"/>
      <c r="M53" s="269"/>
      <c r="P53" s="270"/>
    </row>
    <row r="54" spans="2:16">
      <c r="D54" s="237"/>
      <c r="E54" s="237"/>
      <c r="F54" s="242" t="str">
        <f>F5</f>
        <v xml:space="preserve">AEP East Companies </v>
      </c>
      <c r="G54" s="249"/>
      <c r="H54" s="237"/>
      <c r="I54" s="237"/>
      <c r="J54" s="237"/>
      <c r="K54" s="237"/>
      <c r="L54" s="237"/>
      <c r="M54" s="269"/>
      <c r="P54" s="270"/>
    </row>
    <row r="55" spans="2:16">
      <c r="D55" s="237"/>
      <c r="E55" s="240"/>
      <c r="F55" s="242" t="str">
        <f>F6</f>
        <v>Transmission Cost of Service Formula Rate</v>
      </c>
      <c r="G55" s="240"/>
      <c r="H55" s="240"/>
      <c r="I55" s="240"/>
      <c r="J55" s="240"/>
      <c r="K55" s="240"/>
      <c r="L55" s="240"/>
      <c r="M55" s="271"/>
      <c r="P55" s="266"/>
    </row>
    <row r="56" spans="2:16">
      <c r="D56" s="237"/>
      <c r="E56" s="240"/>
      <c r="F56" s="254" t="str">
        <f>F7</f>
        <v>Utilizing  Actual/Projected FERC Form 1 Data</v>
      </c>
      <c r="G56" s="240"/>
      <c r="H56" s="240"/>
      <c r="I56" s="240"/>
      <c r="J56" s="240"/>
      <c r="K56" s="240"/>
      <c r="L56" s="240"/>
      <c r="M56" s="272"/>
      <c r="P56" s="266"/>
    </row>
    <row r="57" spans="2:16">
      <c r="D57" s="237"/>
      <c r="E57" s="240"/>
      <c r="F57" s="242"/>
      <c r="G57" s="240"/>
      <c r="H57" s="240"/>
      <c r="I57" s="240"/>
      <c r="J57" s="240"/>
      <c r="K57" s="240"/>
      <c r="L57" s="240"/>
      <c r="M57" s="240"/>
      <c r="P57" s="266"/>
    </row>
    <row r="58" spans="2:16">
      <c r="D58" s="237"/>
      <c r="E58" s="240"/>
      <c r="F58" s="242" t="str">
        <f>F9</f>
        <v>WHEELING POWER COMPANY</v>
      </c>
      <c r="G58" s="240"/>
      <c r="H58" s="240"/>
      <c r="I58" s="240"/>
      <c r="J58" s="240"/>
      <c r="K58" s="240"/>
      <c r="L58" s="240"/>
      <c r="M58" s="240"/>
      <c r="P58" s="266"/>
    </row>
    <row r="59" spans="2:16">
      <c r="D59" s="237"/>
      <c r="E59" s="254"/>
      <c r="F59" s="254"/>
      <c r="G59" s="254"/>
      <c r="H59" s="254"/>
      <c r="I59" s="254"/>
      <c r="J59" s="254"/>
      <c r="K59" s="254"/>
      <c r="L59" s="240"/>
      <c r="M59" s="240"/>
      <c r="P59" s="266"/>
    </row>
    <row r="60" spans="2:16">
      <c r="D60" s="242" t="s">
        <v>121</v>
      </c>
      <c r="E60" s="242" t="s">
        <v>122</v>
      </c>
      <c r="F60" s="242"/>
      <c r="G60" s="242" t="s">
        <v>123</v>
      </c>
      <c r="H60" s="240" t="s">
        <v>114</v>
      </c>
      <c r="I60" s="1246" t="s">
        <v>124</v>
      </c>
      <c r="J60" s="1247"/>
      <c r="K60" s="240"/>
      <c r="L60" s="243" t="s">
        <v>125</v>
      </c>
      <c r="M60" s="240"/>
    </row>
    <row r="61" spans="2:16">
      <c r="B61" s="233"/>
      <c r="D61" s="67"/>
      <c r="E61" s="67"/>
      <c r="F61" s="67"/>
      <c r="G61" s="267"/>
      <c r="H61" s="240"/>
      <c r="I61" s="240"/>
      <c r="J61" s="274"/>
      <c r="K61" s="240"/>
      <c r="M61" s="240"/>
    </row>
    <row r="62" spans="2:16" ht="15.75">
      <c r="B62" s="275"/>
      <c r="C62" s="242"/>
      <c r="D62" s="67"/>
      <c r="E62" s="276" t="s">
        <v>95</v>
      </c>
      <c r="F62" s="277"/>
      <c r="G62" s="240"/>
      <c r="H62" s="240"/>
      <c r="I62" s="240"/>
      <c r="J62" s="242"/>
      <c r="K62" s="240"/>
      <c r="L62" s="278" t="s">
        <v>118</v>
      </c>
      <c r="M62" s="240"/>
      <c r="P62" s="270"/>
    </row>
    <row r="63" spans="2:16" ht="15.75">
      <c r="B63" s="233"/>
      <c r="C63" s="242"/>
      <c r="D63" s="279" t="s">
        <v>94</v>
      </c>
      <c r="E63" s="280" t="s">
        <v>112</v>
      </c>
      <c r="F63" s="240"/>
      <c r="G63" s="279" t="s">
        <v>81</v>
      </c>
      <c r="H63" s="281"/>
      <c r="I63" s="1248" t="s">
        <v>119</v>
      </c>
      <c r="J63" s="1249"/>
      <c r="K63" s="281"/>
      <c r="L63" s="279" t="s">
        <v>115</v>
      </c>
      <c r="M63" s="240"/>
    </row>
    <row r="64" spans="2:16">
      <c r="B64" s="241" t="str">
        <f>B11</f>
        <v>Line</v>
      </c>
      <c r="C64" s="242"/>
      <c r="D64" s="237"/>
      <c r="E64" s="240"/>
      <c r="F64" s="240"/>
      <c r="G64" s="813" t="s">
        <v>354</v>
      </c>
      <c r="H64" s="240"/>
      <c r="I64" s="240"/>
      <c r="J64" s="240"/>
      <c r="K64" s="240"/>
      <c r="L64" s="240"/>
      <c r="M64" s="240"/>
    </row>
    <row r="65" spans="2:15" ht="15.75" thickBot="1">
      <c r="B65" s="247" t="str">
        <f>B12</f>
        <v>No.</v>
      </c>
      <c r="C65" s="242"/>
      <c r="D65" s="237" t="s">
        <v>82</v>
      </c>
      <c r="E65" s="254"/>
      <c r="F65" s="254"/>
      <c r="G65" s="240"/>
      <c r="H65" s="240"/>
      <c r="I65" s="254"/>
      <c r="J65" s="240"/>
      <c r="K65" s="240"/>
      <c r="L65" s="240"/>
      <c r="M65" s="240"/>
    </row>
    <row r="66" spans="2:15">
      <c r="B66" s="241">
        <f>+B48+1</f>
        <v>19</v>
      </c>
      <c r="C66" s="242"/>
      <c r="D66" s="237" t="s">
        <v>126</v>
      </c>
      <c r="E66" s="240" t="str">
        <f>"(Worksheet A ln "&amp;'WS A - RB Support'!A23&amp;"."&amp;'WS A - RB Support'!C8&amp;")"</f>
        <v>(Worksheet A ln 14.(b))</v>
      </c>
      <c r="F66" s="240"/>
      <c r="G66" s="253">
        <f>'WS A - RB Support'!C23</f>
        <v>1292397025.8284616</v>
      </c>
      <c r="H66" s="253"/>
      <c r="I66" s="254" t="s">
        <v>127</v>
      </c>
      <c r="J66" s="255">
        <v>0</v>
      </c>
      <c r="K66" s="240"/>
      <c r="L66" s="282">
        <f>+J66*G66</f>
        <v>0</v>
      </c>
      <c r="M66" s="240"/>
    </row>
    <row r="67" spans="2:15">
      <c r="B67" s="241">
        <f>+B66+1</f>
        <v>20</v>
      </c>
      <c r="C67" s="242"/>
      <c r="D67" s="237" t="s">
        <v>377</v>
      </c>
      <c r="E67" s="240" t="str">
        <f>"(Worksheet A ln "&amp;'WS A - RB Support'!A23&amp;"."&amp;'WS A - RB Support'!D8&amp;")"</f>
        <v>(Worksheet A ln 14.(c))</v>
      </c>
      <c r="F67" s="240"/>
      <c r="G67" s="282">
        <f>-'WS A - RB Support'!D23</f>
        <v>-30350117.379999999</v>
      </c>
      <c r="H67" s="253"/>
      <c r="I67" s="254" t="s">
        <v>127</v>
      </c>
      <c r="J67" s="255">
        <v>0</v>
      </c>
      <c r="K67" s="240"/>
      <c r="L67" s="282">
        <f>+J67*G67</f>
        <v>0</v>
      </c>
      <c r="M67" s="240"/>
    </row>
    <row r="68" spans="2:15">
      <c r="B68" s="241">
        <f t="shared" ref="B68:B74" si="0">+B67+1</f>
        <v>21</v>
      </c>
      <c r="C68" s="295"/>
      <c r="D68" s="283" t="s">
        <v>128</v>
      </c>
      <c r="E68" s="240" t="str">
        <f>"(Worksheet A ln "&amp;'WS A - RB Support'!A23&amp;"."&amp;'WS A - RB Support'!E8&amp;" &amp; TCOS Ln "&amp;B237&amp;")"</f>
        <v>(Worksheet A ln 14.(d) &amp; TCOS Ln 134)</v>
      </c>
      <c r="F68" s="284"/>
      <c r="G68" s="253">
        <f>'WS A - RB Support'!E23</f>
        <v>178366663.40153849</v>
      </c>
      <c r="H68" s="253"/>
      <c r="I68" s="285" t="s">
        <v>129</v>
      </c>
      <c r="J68" s="255" t="s">
        <v>114</v>
      </c>
      <c r="K68" s="286"/>
      <c r="L68" s="282">
        <f>+L237</f>
        <v>166012340.02615386</v>
      </c>
      <c r="M68" s="286"/>
    </row>
    <row r="69" spans="2:15">
      <c r="B69" s="241">
        <f t="shared" si="0"/>
        <v>22</v>
      </c>
      <c r="C69" s="295"/>
      <c r="D69" s="237" t="s">
        <v>378</v>
      </c>
      <c r="E69" s="240" t="str">
        <f>"(Worksheet A ln "&amp;'WS A - RB Support'!A23&amp;"."&amp;'WS A - RB Support'!F8&amp;")"</f>
        <v>(Worksheet A ln 14.(e))</v>
      </c>
      <c r="F69" s="284"/>
      <c r="G69" s="253">
        <f>-'WS A - RB Support'!F23</f>
        <v>0</v>
      </c>
      <c r="H69" s="253"/>
      <c r="I69" s="285" t="s">
        <v>120</v>
      </c>
      <c r="J69" s="255">
        <f>L239</f>
        <v>0.93073636553052175</v>
      </c>
      <c r="K69" s="286"/>
      <c r="L69" s="282">
        <f>+G69*J69</f>
        <v>0</v>
      </c>
      <c r="M69" s="286"/>
    </row>
    <row r="70" spans="2:15">
      <c r="B70" s="241">
        <f>+B69+1</f>
        <v>23</v>
      </c>
      <c r="C70" s="295"/>
      <c r="D70" s="237" t="s">
        <v>130</v>
      </c>
      <c r="E70" s="240" t="str">
        <f>"(Worksheet A ln "&amp;'WS A - RB Support'!A23&amp;"."&amp;'WS A - RB Support'!G8&amp;")"</f>
        <v>(Worksheet A ln 14.(f))</v>
      </c>
      <c r="F70" s="240"/>
      <c r="G70" s="253">
        <f>'WS A - RB Support'!G23</f>
        <v>313545508.69769233</v>
      </c>
      <c r="H70" s="253"/>
      <c r="I70" s="254" t="s">
        <v>127</v>
      </c>
      <c r="J70" s="255">
        <v>0</v>
      </c>
      <c r="K70" s="240"/>
      <c r="L70" s="282">
        <f>+J70*G70</f>
        <v>0</v>
      </c>
      <c r="M70" s="240"/>
    </row>
    <row r="71" spans="2:15">
      <c r="B71" s="241">
        <f t="shared" si="0"/>
        <v>24</v>
      </c>
      <c r="C71" s="295"/>
      <c r="D71" s="237" t="s">
        <v>375</v>
      </c>
      <c r="E71" s="240" t="str">
        <f>"(Worksheet A ln "&amp;'WS A - RB Support'!A23&amp;"."&amp;'WS A - RB Support'!H8&amp;")"</f>
        <v>(Worksheet A ln 14.(g))</v>
      </c>
      <c r="F71" s="240"/>
      <c r="G71" s="282">
        <f>-'WS A - RB Support'!H23</f>
        <v>0</v>
      </c>
      <c r="H71" s="253"/>
      <c r="I71" s="254" t="s">
        <v>127</v>
      </c>
      <c r="J71" s="255">
        <v>0</v>
      </c>
      <c r="K71" s="240"/>
      <c r="L71" s="282">
        <f>+G71*J71</f>
        <v>0</v>
      </c>
      <c r="M71" s="240"/>
    </row>
    <row r="72" spans="2:15">
      <c r="B72" s="241">
        <f t="shared" si="0"/>
        <v>25</v>
      </c>
      <c r="C72" s="295"/>
      <c r="D72" s="237" t="s">
        <v>131</v>
      </c>
      <c r="E72" s="240" t="str">
        <f>"(Worksheet A ln "&amp;'WS A - RB Support'!A23&amp;"."&amp;'WS A - RB Support'!I8&amp;")"</f>
        <v>(Worksheet A ln 14.(h))</v>
      </c>
      <c r="F72" s="240"/>
      <c r="G72" s="253">
        <f>'WS A - RB Support'!I23</f>
        <v>27605388.654615384</v>
      </c>
      <c r="H72" s="253"/>
      <c r="I72" s="254" t="s">
        <v>132</v>
      </c>
      <c r="J72" s="255">
        <f>L257</f>
        <v>2.4194780770061278E-2</v>
      </c>
      <c r="K72" s="240"/>
      <c r="L72" s="282">
        <f>+J72*G72</f>
        <v>667906.32657075603</v>
      </c>
      <c r="M72" s="240"/>
    </row>
    <row r="73" spans="2:15">
      <c r="B73" s="241">
        <f t="shared" si="0"/>
        <v>26</v>
      </c>
      <c r="C73" s="295"/>
      <c r="D73" s="237" t="s">
        <v>376</v>
      </c>
      <c r="E73" s="240" t="str">
        <f>"(Worksheet A ln "&amp;'WS A - RB Support'!A23&amp;"."&amp;'WS A - RB Support'!J8&amp;")"</f>
        <v>(Worksheet A ln 14.(i))</v>
      </c>
      <c r="F73" s="240"/>
      <c r="G73" s="282">
        <f>-'WS A - RB Support'!J23</f>
        <v>-37006.090769230781</v>
      </c>
      <c r="H73" s="253"/>
      <c r="I73" s="254" t="s">
        <v>132</v>
      </c>
      <c r="J73" s="255">
        <f>L257</f>
        <v>2.4194780770061278E-2</v>
      </c>
      <c r="K73" s="240"/>
      <c r="L73" s="282">
        <f>+G73*J73</f>
        <v>-895.35425331852707</v>
      </c>
      <c r="M73" s="240"/>
    </row>
    <row r="74" spans="2:15">
      <c r="B74" s="241">
        <f t="shared" si="0"/>
        <v>27</v>
      </c>
      <c r="C74" s="295"/>
      <c r="D74" s="237" t="s">
        <v>133</v>
      </c>
      <c r="E74" s="240" t="str">
        <f>"(Worksheet A ln "&amp;'WS A - RB Support'!A23&amp;"."&amp;'WS A - RB Support'!K8&amp;")"</f>
        <v>(Worksheet A ln 14.(j))</v>
      </c>
      <c r="F74" s="240"/>
      <c r="G74" s="253">
        <f>'WS A - RB Support'!K23</f>
        <v>1133202.1323076924</v>
      </c>
      <c r="H74" s="253"/>
      <c r="I74" s="254" t="s">
        <v>132</v>
      </c>
      <c r="J74" s="255">
        <f>L257</f>
        <v>2.4194780770061278E-2</v>
      </c>
      <c r="K74" s="240"/>
      <c r="L74" s="1202">
        <f>+J74*G74</f>
        <v>27417.577159350592</v>
      </c>
      <c r="M74" s="240"/>
      <c r="N74" s="237"/>
      <c r="O74" s="237"/>
    </row>
    <row r="75" spans="2:15">
      <c r="B75" s="241" t="s">
        <v>1294</v>
      </c>
      <c r="C75" s="295"/>
      <c r="D75" s="237" t="s">
        <v>1288</v>
      </c>
      <c r="E75" s="240" t="str">
        <f>"(Worksheet A ln "&amp;'WS A - RB Support'!A23&amp;"."&amp;'WS A - RB Support'!L8&amp;")"</f>
        <v>(Worksheet A ln 14.(k))</v>
      </c>
      <c r="F75" s="240"/>
      <c r="G75" s="253">
        <f>'WS A - RB Support'!L23</f>
        <v>0</v>
      </c>
      <c r="H75" s="253"/>
      <c r="I75" s="254" t="s">
        <v>1271</v>
      </c>
      <c r="J75" s="255">
        <f>L246</f>
        <v>1</v>
      </c>
      <c r="K75" s="240"/>
      <c r="L75" s="1202">
        <f t="shared" ref="L75:L76" si="1">+J75*G75</f>
        <v>0</v>
      </c>
      <c r="M75" s="240"/>
      <c r="N75" s="237"/>
      <c r="O75" s="237"/>
    </row>
    <row r="76" spans="2:15" ht="15.75" thickBot="1">
      <c r="B76" s="241" t="s">
        <v>1295</v>
      </c>
      <c r="C76" s="295"/>
      <c r="D76" s="237" t="s">
        <v>1296</v>
      </c>
      <c r="E76" s="240" t="str">
        <f>"(Worksheet A ln "&amp;'WS A - RB Support'!A23&amp;"."&amp;'WS A - RB Support'!M8&amp;")"</f>
        <v>(Worksheet A ln 14.(l))</v>
      </c>
      <c r="F76" s="240"/>
      <c r="G76" s="288">
        <f>'WS A - RB Support'!M23</f>
        <v>0</v>
      </c>
      <c r="H76" s="253"/>
      <c r="I76" s="254" t="s">
        <v>1271</v>
      </c>
      <c r="J76" s="255">
        <f>L246</f>
        <v>1</v>
      </c>
      <c r="K76" s="240"/>
      <c r="L76" s="342">
        <f t="shared" si="1"/>
        <v>0</v>
      </c>
      <c r="M76" s="240"/>
      <c r="N76" s="237"/>
      <c r="O76" s="237"/>
    </row>
    <row r="77" spans="2:15" ht="15.75">
      <c r="B77" s="241">
        <f>+B74+1</f>
        <v>28</v>
      </c>
      <c r="C77" s="295"/>
      <c r="D77" s="237" t="s">
        <v>47</v>
      </c>
      <c r="E77" s="242" t="str">
        <f>"(sum lns "&amp;B66&amp;" to "&amp;B74&amp;")"</f>
        <v>(sum lns 19 to 27)</v>
      </c>
      <c r="F77" s="3"/>
      <c r="G77" s="253">
        <f>SUM(G66:G76)</f>
        <v>1782660665.2438462</v>
      </c>
      <c r="H77" s="253"/>
      <c r="I77" s="276" t="s">
        <v>749</v>
      </c>
      <c r="J77" s="289">
        <f>+L77/G77</f>
        <v>9.351570482586892E-2</v>
      </c>
      <c r="K77" s="240"/>
      <c r="L77" s="253">
        <f>SUM(L66:L76)</f>
        <v>166706768.57563064</v>
      </c>
      <c r="M77" s="240"/>
      <c r="N77" s="237"/>
      <c r="O77" s="237"/>
    </row>
    <row r="78" spans="2:15" ht="15.75">
      <c r="B78" s="241"/>
      <c r="C78" s="242"/>
      <c r="D78" s="237"/>
      <c r="E78" s="76"/>
      <c r="F78" s="3"/>
      <c r="G78" s="253"/>
      <c r="H78" s="253"/>
      <c r="I78" s="277" t="s">
        <v>216</v>
      </c>
      <c r="J78" s="290">
        <f>+L68/(G70+G68+G71)</f>
        <v>0.33748370022578966</v>
      </c>
      <c r="K78" s="240"/>
      <c r="L78" s="253"/>
      <c r="M78" s="240"/>
      <c r="N78" s="291"/>
      <c r="O78" s="237"/>
    </row>
    <row r="79" spans="2:15">
      <c r="B79" s="241">
        <f>+B77+1</f>
        <v>29</v>
      </c>
      <c r="C79" s="242"/>
      <c r="D79" s="237" t="s">
        <v>24</v>
      </c>
      <c r="E79" s="254"/>
      <c r="F79" s="254"/>
      <c r="G79" s="253"/>
      <c r="H79" s="292"/>
      <c r="I79" s="254"/>
      <c r="J79" s="293"/>
      <c r="K79" s="240"/>
      <c r="L79" s="253"/>
      <c r="M79" s="240"/>
      <c r="N79" s="240"/>
      <c r="O79" s="240"/>
    </row>
    <row r="80" spans="2:15">
      <c r="B80" s="241">
        <f>+B79+1</f>
        <v>30</v>
      </c>
      <c r="C80" s="242"/>
      <c r="D80" s="237" t="str">
        <f>+D66</f>
        <v xml:space="preserve">  Production</v>
      </c>
      <c r="E80" s="240" t="str">
        <f>"(Worksheet A ln "&amp;'WS A - RB Support'!A42&amp;"."&amp;'WS A - RB Support'!C27&amp;")"</f>
        <v>(Worksheet A ln 28.(b))</v>
      </c>
      <c r="F80" s="240"/>
      <c r="G80" s="253">
        <f>'WS A - RB Support'!C42</f>
        <v>549354133.92769229</v>
      </c>
      <c r="H80" s="253"/>
      <c r="I80" s="254" t="s">
        <v>127</v>
      </c>
      <c r="J80" s="255">
        <v>0</v>
      </c>
      <c r="K80" s="240"/>
      <c r="L80" s="282">
        <f>+J80*G80</f>
        <v>0</v>
      </c>
      <c r="M80" s="240"/>
      <c r="N80" s="240"/>
      <c r="O80" s="240"/>
    </row>
    <row r="81" spans="2:15">
      <c r="B81" s="241">
        <f t="shared" ref="B81:B88" si="2">+B80+1</f>
        <v>31</v>
      </c>
      <c r="C81" s="242"/>
      <c r="D81" s="237" t="s">
        <v>377</v>
      </c>
      <c r="E81" s="240" t="str">
        <f>"(Worksheet A ln "&amp;'WS A - RB Support'!A42&amp;"."&amp;'WS A - RB Support'!D27&amp;")"</f>
        <v>(Worksheet A ln 28.(c))</v>
      </c>
      <c r="F81" s="240"/>
      <c r="G81" s="282">
        <f>-'WS A - RB Support'!D42</f>
        <v>-5357502.3407692304</v>
      </c>
      <c r="H81" s="253"/>
      <c r="I81" s="254" t="s">
        <v>127</v>
      </c>
      <c r="J81" s="255">
        <v>0</v>
      </c>
      <c r="K81" s="240"/>
      <c r="L81" s="282">
        <f>+J81*G81</f>
        <v>0</v>
      </c>
      <c r="M81" s="240"/>
      <c r="N81" s="240"/>
      <c r="O81" s="240"/>
    </row>
    <row r="82" spans="2:15" ht="15.75">
      <c r="B82" s="241">
        <f t="shared" si="2"/>
        <v>32</v>
      </c>
      <c r="C82" s="295"/>
      <c r="D82" s="283" t="str">
        <f>D68</f>
        <v xml:space="preserve">  Transmission</v>
      </c>
      <c r="E82" s="240" t="str">
        <f>"(Worksheet A ln "&amp;'WS A - RB Support'!A42&amp;"."&amp;'WS A - RB Support'!E27&amp;" &amp; "&amp;"ln "&amp;'WS A - RB Support'!A64&amp;"."&amp;'WS A - RB Support'!D47&amp;")"</f>
        <v>(Worksheet A ln 28.(d) &amp; ln 43.(c))</v>
      </c>
      <c r="F82" s="284"/>
      <c r="G82" s="287">
        <f>'WS A - RB Support'!E42</f>
        <v>40915468.845384613</v>
      </c>
      <c r="H82" s="253"/>
      <c r="I82" s="812" t="s">
        <v>27</v>
      </c>
      <c r="J82" s="294">
        <f>L82/G82</f>
        <v>0.82947415936095181</v>
      </c>
      <c r="K82" s="286"/>
      <c r="L82" s="282">
        <f>'WS A - RB Support'!D64</f>
        <v>33938324.125384614</v>
      </c>
      <c r="M82" s="286"/>
      <c r="N82" s="240"/>
      <c r="O82" s="240"/>
    </row>
    <row r="83" spans="2:15" ht="15.75">
      <c r="B83" s="241">
        <f t="shared" si="2"/>
        <v>33</v>
      </c>
      <c r="C83" s="295"/>
      <c r="D83" s="237" t="s">
        <v>378</v>
      </c>
      <c r="E83" s="240" t="str">
        <f>"(Worksheet A ln "&amp;'WS A - RB Support'!A42&amp;"."&amp;'WS A - RB Support'!F27&amp;")"</f>
        <v>(Worksheet A ln 28.(e))</v>
      </c>
      <c r="F83" s="284"/>
      <c r="G83" s="282">
        <f>-'WS A - RB Support'!F42</f>
        <v>0</v>
      </c>
      <c r="H83" s="253"/>
      <c r="I83" s="812" t="s">
        <v>27</v>
      </c>
      <c r="J83" s="255">
        <f>+J82</f>
        <v>0.82947415936095181</v>
      </c>
      <c r="K83" s="286"/>
      <c r="L83" s="282">
        <f t="shared" ref="L83:L90" si="3">+J83*G83</f>
        <v>0</v>
      </c>
      <c r="M83" s="286"/>
      <c r="N83" s="240"/>
      <c r="O83" s="240"/>
    </row>
    <row r="84" spans="2:15">
      <c r="B84" s="241">
        <f>+B83+1</f>
        <v>34</v>
      </c>
      <c r="C84" s="295"/>
      <c r="D84" s="237" t="str">
        <f>+D70</f>
        <v xml:space="preserve">  Distribution</v>
      </c>
      <c r="E84" s="240" t="str">
        <f>"(Worksheet A ln "&amp;'WS A - RB Support'!A42&amp;"."&amp;'WS A - RB Support'!G27&amp;")"</f>
        <v>(Worksheet A ln 28.(f))</v>
      </c>
      <c r="F84" s="240"/>
      <c r="G84" s="253">
        <f>'WS A - RB Support'!G42</f>
        <v>94582199.313076913</v>
      </c>
      <c r="H84" s="253"/>
      <c r="I84" s="254" t="s">
        <v>127</v>
      </c>
      <c r="J84" s="255">
        <v>0</v>
      </c>
      <c r="K84" s="240"/>
      <c r="L84" s="282">
        <f t="shared" si="3"/>
        <v>0</v>
      </c>
      <c r="M84" s="240"/>
      <c r="N84" s="240"/>
      <c r="O84" s="240"/>
    </row>
    <row r="85" spans="2:15">
      <c r="B85" s="241">
        <f t="shared" si="2"/>
        <v>35</v>
      </c>
      <c r="C85" s="295"/>
      <c r="D85" s="237" t="s">
        <v>375</v>
      </c>
      <c r="E85" s="240" t="str">
        <f>"(Worksheet A ln "&amp;'WS A - RB Support'!A42&amp;"."&amp;'WS A - RB Support'!H27&amp;")"</f>
        <v>(Worksheet A ln 28.(g))</v>
      </c>
      <c r="F85" s="240"/>
      <c r="G85" s="282">
        <f>-'WS A - RB Support'!H42</f>
        <v>0</v>
      </c>
      <c r="H85" s="253"/>
      <c r="I85" s="254" t="s">
        <v>127</v>
      </c>
      <c r="J85" s="255">
        <v>0</v>
      </c>
      <c r="K85" s="240"/>
      <c r="L85" s="282">
        <f t="shared" si="3"/>
        <v>0</v>
      </c>
      <c r="M85" s="240"/>
      <c r="N85" s="240"/>
      <c r="O85" s="240"/>
    </row>
    <row r="86" spans="2:15">
      <c r="B86" s="241">
        <f t="shared" si="2"/>
        <v>36</v>
      </c>
      <c r="C86" s="295"/>
      <c r="D86" s="237" t="str">
        <f>+D72</f>
        <v xml:space="preserve">  General Plant   </v>
      </c>
      <c r="E86" s="240" t="str">
        <f>"(Worksheet A ln "&amp;'WS A - RB Support'!A42&amp;"."&amp;'WS A - RB Support'!I27&amp;")"</f>
        <v>(Worksheet A ln 28.(h))</v>
      </c>
      <c r="F86" s="240"/>
      <c r="G86" s="253">
        <f>'WS A - RB Support'!I42</f>
        <v>11125577.236153848</v>
      </c>
      <c r="H86" s="253"/>
      <c r="I86" s="254" t="s">
        <v>132</v>
      </c>
      <c r="J86" s="255">
        <f>L257</f>
        <v>2.4194780770061278E-2</v>
      </c>
      <c r="K86" s="240"/>
      <c r="L86" s="282">
        <f t="shared" si="3"/>
        <v>269180.90216912661</v>
      </c>
      <c r="M86" s="240"/>
      <c r="N86" s="240"/>
      <c r="O86" s="240"/>
    </row>
    <row r="87" spans="2:15">
      <c r="B87" s="241">
        <f t="shared" si="2"/>
        <v>37</v>
      </c>
      <c r="C87" s="295"/>
      <c r="D87" s="237" t="s">
        <v>376</v>
      </c>
      <c r="E87" s="240" t="str">
        <f>"(Worksheet A ln "&amp;'WS A - RB Support'!A42&amp;"."&amp;'WS A - RB Support'!J27&amp;")"</f>
        <v>(Worksheet A ln 28.(i))</v>
      </c>
      <c r="F87" s="240"/>
      <c r="G87" s="282">
        <f>-'WS A - RB Support'!J42</f>
        <v>-95498.330769230772</v>
      </c>
      <c r="H87" s="253"/>
      <c r="I87" s="254" t="s">
        <v>132</v>
      </c>
      <c r="J87" s="255">
        <f>L257</f>
        <v>2.4194780770061278E-2</v>
      </c>
      <c r="K87" s="240"/>
      <c r="L87" s="282">
        <f t="shared" si="3"/>
        <v>-2310.5611768683357</v>
      </c>
      <c r="M87" s="240"/>
      <c r="N87" s="240"/>
      <c r="O87" s="240"/>
    </row>
    <row r="88" spans="2:15">
      <c r="B88" s="241">
        <f t="shared" si="2"/>
        <v>38</v>
      </c>
      <c r="C88" s="295"/>
      <c r="D88" s="237" t="str">
        <f>+D74</f>
        <v xml:space="preserve">  Intangible Plant</v>
      </c>
      <c r="E88" s="240" t="str">
        <f>"(Worksheet A ln "&amp;'WS A - RB Support'!A42&amp;"."&amp;'WS A - RB Support'!K27&amp;")"</f>
        <v>(Worksheet A ln 28.(j))</v>
      </c>
      <c r="F88" s="240"/>
      <c r="G88" s="253">
        <f>'WS A - RB Support'!K42</f>
        <v>438743.70692307694</v>
      </c>
      <c r="H88" s="253"/>
      <c r="I88" s="254" t="s">
        <v>132</v>
      </c>
      <c r="J88" s="255">
        <f>L257</f>
        <v>2.4194780770061278E-2</v>
      </c>
      <c r="K88" s="240"/>
      <c r="L88" s="1202">
        <f t="shared" si="3"/>
        <v>10615.307803247862</v>
      </c>
      <c r="M88" s="240"/>
      <c r="N88" s="240"/>
      <c r="O88" s="240"/>
    </row>
    <row r="89" spans="2:15">
      <c r="B89" s="241" t="s">
        <v>1297</v>
      </c>
      <c r="C89" s="295"/>
      <c r="D89" s="237" t="s">
        <v>1288</v>
      </c>
      <c r="E89" s="240" t="str">
        <f>"(Worksheet A ln "&amp;'WS A - RB Support'!A42&amp;"."&amp;'WS A - RB Support'!L27&amp;")"</f>
        <v>(Worksheet A ln 28.(k))</v>
      </c>
      <c r="F89" s="240"/>
      <c r="G89" s="253">
        <f>'WS A - RB Support'!L42</f>
        <v>0</v>
      </c>
      <c r="H89" s="253"/>
      <c r="I89" s="254" t="s">
        <v>1271</v>
      </c>
      <c r="J89" s="255">
        <f>L246</f>
        <v>1</v>
      </c>
      <c r="K89" s="240"/>
      <c r="L89" s="1202">
        <f t="shared" si="3"/>
        <v>0</v>
      </c>
      <c r="M89" s="240"/>
      <c r="N89" s="240"/>
      <c r="O89" s="240"/>
    </row>
    <row r="90" spans="2:15" ht="15.75" thickBot="1">
      <c r="B90" s="241" t="s">
        <v>1298</v>
      </c>
      <c r="C90" s="295"/>
      <c r="D90" s="237" t="s">
        <v>1296</v>
      </c>
      <c r="E90" s="240" t="str">
        <f>"(Worksheet A ln "&amp;'WS A - RB Support'!A42&amp;"."&amp;'WS A - RB Support'!M27&amp;")"</f>
        <v>(Worksheet A ln 28.(l))</v>
      </c>
      <c r="F90" s="240"/>
      <c r="G90" s="288">
        <f>'WS A - RB Support'!M42</f>
        <v>0</v>
      </c>
      <c r="H90" s="253"/>
      <c r="I90" s="254" t="s">
        <v>1271</v>
      </c>
      <c r="J90" s="255">
        <f>L246</f>
        <v>1</v>
      </c>
      <c r="K90" s="240"/>
      <c r="L90" s="342">
        <f t="shared" si="3"/>
        <v>0</v>
      </c>
      <c r="M90" s="240"/>
      <c r="N90" s="240"/>
      <c r="O90" s="240"/>
    </row>
    <row r="91" spans="2:15">
      <c r="B91" s="241">
        <f>+B88+1</f>
        <v>39</v>
      </c>
      <c r="C91" s="295"/>
      <c r="D91" s="237" t="s">
        <v>46</v>
      </c>
      <c r="E91" s="799" t="str">
        <f>"(sum lns "&amp;B80&amp;" to "&amp;B88&amp;")"</f>
        <v>(sum lns 30 to 38)</v>
      </c>
      <c r="F91" s="473"/>
      <c r="G91" s="253">
        <f>SUM(G80:G90)</f>
        <v>690963122.35769248</v>
      </c>
      <c r="H91" s="253"/>
      <c r="I91" s="254"/>
      <c r="J91" s="240"/>
      <c r="K91" s="253"/>
      <c r="L91" s="253">
        <f>SUM(L80:L90)</f>
        <v>34215809.774180122</v>
      </c>
      <c r="M91" s="240"/>
      <c r="N91" s="240"/>
      <c r="O91" s="240"/>
    </row>
    <row r="92" spans="2:15">
      <c r="B92" s="241"/>
      <c r="C92" s="242"/>
      <c r="E92" s="173"/>
      <c r="F92" s="473"/>
      <c r="G92" s="253"/>
      <c r="H92" s="253"/>
      <c r="I92" s="254"/>
      <c r="J92" s="296"/>
      <c r="K92" s="240"/>
      <c r="L92" s="253"/>
      <c r="M92" s="240"/>
      <c r="N92" s="240"/>
      <c r="O92" s="240"/>
    </row>
    <row r="93" spans="2:15">
      <c r="B93" s="241">
        <f>+B91+1</f>
        <v>40</v>
      </c>
      <c r="C93" s="242"/>
      <c r="D93" s="237" t="s">
        <v>83</v>
      </c>
      <c r="E93" s="254"/>
      <c r="F93" s="254"/>
      <c r="G93" s="253"/>
      <c r="H93" s="253"/>
      <c r="I93" s="254"/>
      <c r="J93" s="240"/>
      <c r="K93" s="240"/>
      <c r="L93" s="253"/>
      <c r="M93" s="240"/>
      <c r="N93" s="240"/>
      <c r="O93" s="240"/>
    </row>
    <row r="94" spans="2:15">
      <c r="B94" s="241">
        <f t="shared" ref="B94:B98" si="4">+B93+1</f>
        <v>41</v>
      </c>
      <c r="C94" s="295"/>
      <c r="D94" s="237" t="str">
        <f>+D80</f>
        <v xml:space="preserve">  Production</v>
      </c>
      <c r="E94" s="240" t="str">
        <f>" (ln "&amp;B66&amp;" + ln "&amp;B67&amp;" - ln "&amp;B80&amp;" - ln "&amp;B81&amp;")"</f>
        <v xml:space="preserve"> (ln 19 + ln 20 - ln 30 - ln 31)</v>
      </c>
      <c r="F94" s="240"/>
      <c r="G94" s="253">
        <f>G66+G67-G80-G81</f>
        <v>718050276.86153841</v>
      </c>
      <c r="H94" s="253"/>
      <c r="I94" s="254"/>
      <c r="J94" s="297"/>
      <c r="K94" s="240"/>
      <c r="L94" s="253">
        <f>L66+L67-L80-L81</f>
        <v>0</v>
      </c>
      <c r="M94" s="240"/>
      <c r="N94" s="240"/>
      <c r="O94" s="240"/>
    </row>
    <row r="95" spans="2:15">
      <c r="B95" s="241">
        <f t="shared" si="4"/>
        <v>42</v>
      </c>
      <c r="C95" s="295"/>
      <c r="D95" s="237" t="str">
        <f>+D82</f>
        <v xml:space="preserve">  Transmission</v>
      </c>
      <c r="E95" s="240" t="str">
        <f>" (ln "&amp;B68&amp;" + ln "&amp;B69&amp;" - ln "&amp;B82&amp;" - ln "&amp;B83&amp;")"</f>
        <v xml:space="preserve"> (ln 21 + ln 22 - ln 32 - ln 33)</v>
      </c>
      <c r="F95" s="240"/>
      <c r="G95" s="253">
        <f>+G68+G69-G82-G83</f>
        <v>137451194.55615389</v>
      </c>
      <c r="H95" s="253"/>
      <c r="I95" s="254"/>
      <c r="J95" s="294"/>
      <c r="K95" s="240"/>
      <c r="L95" s="253">
        <f>+L68+L69-L82-L83</f>
        <v>132074015.90076925</v>
      </c>
      <c r="M95" s="240"/>
      <c r="N95" s="240"/>
      <c r="O95" s="240"/>
    </row>
    <row r="96" spans="2:15">
      <c r="B96" s="241">
        <f>+B95+1</f>
        <v>43</v>
      </c>
      <c r="C96" s="295"/>
      <c r="D96" s="237" t="str">
        <f>+D84</f>
        <v xml:space="preserve">  Distribution</v>
      </c>
      <c r="E96" s="240" t="str">
        <f>" (ln "&amp;B70&amp;" + ln "&amp;B71&amp;" - ln "&amp;B84&amp;" - ln "&amp;B85&amp;")"</f>
        <v xml:space="preserve"> (ln 23 + ln 24 - ln 34 - ln 35)</v>
      </c>
      <c r="F96" s="240"/>
      <c r="G96" s="253">
        <f>+G70+G71-G84-G85</f>
        <v>218963309.38461542</v>
      </c>
      <c r="H96" s="253"/>
      <c r="I96" s="254"/>
      <c r="J96" s="296"/>
      <c r="K96" s="240"/>
      <c r="L96" s="253">
        <f>+L70+L71-L84-L85</f>
        <v>0</v>
      </c>
      <c r="M96" s="240"/>
      <c r="O96" s="240"/>
    </row>
    <row r="97" spans="2:15">
      <c r="B97" s="241">
        <f t="shared" si="4"/>
        <v>44</v>
      </c>
      <c r="C97" s="295"/>
      <c r="D97" s="237" t="str">
        <f>+D86</f>
        <v xml:space="preserve">  General Plant   </v>
      </c>
      <c r="E97" s="240" t="str">
        <f>" (ln "&amp;B72&amp;" + ln "&amp;B73&amp;" - ln "&amp;B86&amp;" - ln "&amp;B87&amp;")"</f>
        <v xml:space="preserve"> (ln 25 + ln 26 - ln 36 - ln 37)</v>
      </c>
      <c r="F97" s="240"/>
      <c r="G97" s="253">
        <f>+G72+G73-G86-G87</f>
        <v>16538303.658461535</v>
      </c>
      <c r="H97" s="253"/>
      <c r="I97" s="254"/>
      <c r="J97" s="296"/>
      <c r="K97" s="240"/>
      <c r="L97" s="253">
        <f>+L72+L73-L86-L87</f>
        <v>400140.63132517925</v>
      </c>
      <c r="M97" s="240"/>
      <c r="N97" s="240"/>
      <c r="O97" s="240"/>
    </row>
    <row r="98" spans="2:15">
      <c r="B98" s="241">
        <f t="shared" si="4"/>
        <v>45</v>
      </c>
      <c r="C98" s="295"/>
      <c r="D98" s="237" t="str">
        <f>+D88</f>
        <v xml:space="preserve">  Intangible Plant</v>
      </c>
      <c r="E98" s="240" t="str">
        <f>" (ln "&amp;B74&amp;" - ln "&amp;B88&amp;")"</f>
        <v xml:space="preserve"> (ln 27 - ln 38)</v>
      </c>
      <c r="F98" s="240"/>
      <c r="G98" s="253">
        <f>+G74-G88</f>
        <v>694458.42538461555</v>
      </c>
      <c r="H98" s="253"/>
      <c r="I98" s="254"/>
      <c r="J98" s="296"/>
      <c r="K98" s="240"/>
      <c r="L98" s="253">
        <f>+L74-L88</f>
        <v>16802.26935610273</v>
      </c>
      <c r="M98" s="240"/>
      <c r="N98" s="240"/>
      <c r="O98" s="240"/>
    </row>
    <row r="99" spans="2:15" ht="15.75" thickBot="1">
      <c r="B99" s="241" t="s">
        <v>1299</v>
      </c>
      <c r="C99" s="295"/>
      <c r="D99" s="237" t="s">
        <v>1288</v>
      </c>
      <c r="E99" s="240" t="str">
        <f>" (ln "&amp;B75&amp;" + ln "&amp;B76&amp;" - ln "&amp;B89&amp;" - ln "&amp;B90&amp;")"</f>
        <v xml:space="preserve"> (ln 27a + ln 27b - ln 38a - ln 38b)</v>
      </c>
      <c r="F99" s="240"/>
      <c r="G99" s="288">
        <f>+G75+G76-G89-G90</f>
        <v>0</v>
      </c>
      <c r="H99" s="253"/>
      <c r="I99" s="254"/>
      <c r="J99" s="296"/>
      <c r="K99" s="240"/>
      <c r="L99" s="288">
        <f>L75+L76-L89-L90</f>
        <v>0</v>
      </c>
      <c r="M99" s="240"/>
      <c r="N99" s="240"/>
      <c r="O99" s="240"/>
    </row>
    <row r="100" spans="2:15" ht="15.75">
      <c r="B100" s="241">
        <f>+B98+1</f>
        <v>46</v>
      </c>
      <c r="C100" s="295"/>
      <c r="D100" s="237" t="s">
        <v>45</v>
      </c>
      <c r="E100" s="237" t="str">
        <f>"(sum lns "&amp;B94&amp;" to "&amp;B98&amp;")"</f>
        <v>(sum lns 41 to 45)</v>
      </c>
      <c r="F100" s="240"/>
      <c r="G100" s="253">
        <f>SUM(G94:G99)</f>
        <v>1091697542.8861537</v>
      </c>
      <c r="H100" s="253"/>
      <c r="I100" s="276" t="s">
        <v>750</v>
      </c>
      <c r="J100" s="289">
        <f>+L100/G100</f>
        <v>0.12136233122883119</v>
      </c>
      <c r="K100" s="240"/>
      <c r="L100" s="253">
        <f>SUM(L94:L99)</f>
        <v>132490958.80145054</v>
      </c>
      <c r="M100" s="240"/>
      <c r="N100" s="240"/>
      <c r="O100" s="240"/>
    </row>
    <row r="101" spans="2:15">
      <c r="B101" s="241"/>
      <c r="C101" s="242"/>
      <c r="D101" s="237"/>
      <c r="E101" s="240"/>
      <c r="F101" s="240"/>
      <c r="G101" s="253"/>
      <c r="H101" s="253"/>
      <c r="I101" s="306"/>
      <c r="J101" s="299"/>
      <c r="K101" s="240"/>
      <c r="L101" s="253"/>
      <c r="M101" s="240"/>
      <c r="N101" s="240"/>
      <c r="O101" s="240"/>
    </row>
    <row r="102" spans="2:15">
      <c r="B102" s="241"/>
      <c r="C102" s="242"/>
      <c r="G102" s="3"/>
      <c r="H102" s="3"/>
      <c r="I102" s="76"/>
      <c r="J102" s="3"/>
      <c r="K102" s="3"/>
      <c r="L102" s="3"/>
      <c r="M102"/>
      <c r="N102" s="240"/>
      <c r="O102" s="240"/>
    </row>
    <row r="103" spans="2:15">
      <c r="B103" s="241">
        <f>+B100+1</f>
        <v>47</v>
      </c>
      <c r="C103" s="242"/>
      <c r="D103" s="237" t="s">
        <v>326</v>
      </c>
      <c r="E103" s="240" t="s">
        <v>303</v>
      </c>
      <c r="F103" s="254"/>
      <c r="G103" s="3"/>
      <c r="H103" s="3"/>
      <c r="I103" s="76"/>
      <c r="J103" s="3"/>
      <c r="K103" s="3"/>
      <c r="L103" s="3"/>
      <c r="M103"/>
      <c r="N103" s="240"/>
      <c r="O103" s="240"/>
    </row>
    <row r="104" spans="2:15">
      <c r="B104" s="241">
        <f t="shared" ref="B104:B109" si="5">+B103+1</f>
        <v>48</v>
      </c>
      <c r="C104" s="295"/>
      <c r="D104" s="237" t="s">
        <v>193</v>
      </c>
      <c r="E104" s="240" t="s">
        <v>535</v>
      </c>
      <c r="F104" s="240"/>
      <c r="G104" s="253">
        <f>-'WS B ADIT &amp; ITC'!I17</f>
        <v>-38887741.689999998</v>
      </c>
      <c r="H104" s="253"/>
      <c r="I104" s="254" t="s">
        <v>127</v>
      </c>
      <c r="J104" s="255"/>
      <c r="K104" s="240"/>
      <c r="L104" s="253">
        <f>'WS B ADIT &amp; ITC'!I20</f>
        <v>0</v>
      </c>
      <c r="M104" s="240"/>
      <c r="N104" s="240"/>
      <c r="O104" s="240"/>
    </row>
    <row r="105" spans="2:15">
      <c r="B105" s="241">
        <f t="shared" si="5"/>
        <v>49</v>
      </c>
      <c r="C105" s="295"/>
      <c r="D105" s="237" t="s">
        <v>194</v>
      </c>
      <c r="E105" s="240" t="s">
        <v>536</v>
      </c>
      <c r="F105" s="240"/>
      <c r="G105" s="253">
        <f>-'WS B ADIT &amp; ITC'!I25</f>
        <v>-155935859.36000001</v>
      </c>
      <c r="H105" s="253"/>
      <c r="I105" s="254" t="s">
        <v>129</v>
      </c>
      <c r="J105" s="255"/>
      <c r="K105" s="240"/>
      <c r="L105" s="253">
        <f>-'WS B ADIT &amp; ITC'!I28</f>
        <v>-27648681.920000017</v>
      </c>
      <c r="M105" s="240"/>
      <c r="N105" s="240"/>
      <c r="O105" s="240"/>
    </row>
    <row r="106" spans="2:15">
      <c r="B106" s="241">
        <f t="shared" si="5"/>
        <v>50</v>
      </c>
      <c r="C106" s="295"/>
      <c r="D106" s="237" t="s">
        <v>195</v>
      </c>
      <c r="E106" s="240" t="s">
        <v>537</v>
      </c>
      <c r="F106" s="240"/>
      <c r="G106" s="253">
        <f>-'WS B ADIT &amp; ITC'!I33</f>
        <v>-88658752.174999997</v>
      </c>
      <c r="H106" s="253"/>
      <c r="I106" s="254" t="s">
        <v>129</v>
      </c>
      <c r="J106" s="255"/>
      <c r="K106" s="240"/>
      <c r="L106" s="253">
        <f>-'WS B ADIT &amp; ITC'!I36</f>
        <v>-498209.28000000119</v>
      </c>
      <c r="M106" s="240"/>
      <c r="N106" s="240"/>
      <c r="O106" s="240"/>
    </row>
    <row r="107" spans="2:15">
      <c r="B107" s="241">
        <f t="shared" si="5"/>
        <v>51</v>
      </c>
      <c r="C107" s="295"/>
      <c r="D107" s="237" t="s">
        <v>196</v>
      </c>
      <c r="E107" s="240" t="s">
        <v>538</v>
      </c>
      <c r="F107" s="240"/>
      <c r="G107" s="253">
        <f>'WS B ADIT &amp; ITC'!I41</f>
        <v>11034371.024999999</v>
      </c>
      <c r="H107" s="253"/>
      <c r="I107" s="254" t="s">
        <v>129</v>
      </c>
      <c r="J107" s="255"/>
      <c r="K107" s="240"/>
      <c r="L107" s="253">
        <f>'WS B ADIT &amp; ITC'!I44</f>
        <v>663302.56861059787</v>
      </c>
      <c r="M107" s="240"/>
      <c r="N107" s="240"/>
      <c r="O107" s="240"/>
    </row>
    <row r="108" spans="2:15" ht="15.75" thickBot="1">
      <c r="B108" s="241">
        <f t="shared" si="5"/>
        <v>52</v>
      </c>
      <c r="C108" s="295"/>
      <c r="D108" s="233" t="s">
        <v>134</v>
      </c>
      <c r="E108" s="240" t="s">
        <v>539</v>
      </c>
      <c r="G108" s="288">
        <f>-'WS B ADIT &amp; ITC'!I51</f>
        <v>0</v>
      </c>
      <c r="H108" s="253"/>
      <c r="I108" s="254" t="s">
        <v>129</v>
      </c>
      <c r="J108" s="255"/>
      <c r="K108" s="240"/>
      <c r="L108" s="288">
        <f>-'WS B ADIT &amp; ITC'!I52</f>
        <v>0</v>
      </c>
      <c r="M108" s="300"/>
      <c r="N108" s="240"/>
      <c r="O108" s="240"/>
    </row>
    <row r="109" spans="2:15">
      <c r="B109" s="241">
        <f t="shared" si="5"/>
        <v>53</v>
      </c>
      <c r="C109" s="295"/>
      <c r="D109" s="237" t="s">
        <v>92</v>
      </c>
      <c r="E109" s="237" t="str">
        <f>"(sum lns "&amp;B104&amp;" to "&amp;B108&amp;")"</f>
        <v>(sum lns 48 to 52)</v>
      </c>
      <c r="F109" s="240"/>
      <c r="G109" s="253">
        <f>SUM(G104:G108)</f>
        <v>-272447982.20000005</v>
      </c>
      <c r="H109" s="3"/>
      <c r="I109" s="254"/>
      <c r="J109" s="301"/>
      <c r="K109" s="240"/>
      <c r="L109" s="253">
        <f>SUM(L104:L108)</f>
        <v>-27483588.63138942</v>
      </c>
      <c r="M109" s="240"/>
      <c r="N109" s="302"/>
    </row>
    <row r="110" spans="2:15">
      <c r="B110" s="241"/>
      <c r="C110" s="242"/>
      <c r="D110" s="237"/>
      <c r="E110" s="240"/>
      <c r="F110" s="240"/>
      <c r="G110" s="253"/>
      <c r="H110" s="3"/>
      <c r="I110" s="254"/>
      <c r="J110" s="296"/>
      <c r="K110" s="240"/>
      <c r="L110" s="253"/>
      <c r="M110" s="240"/>
    </row>
    <row r="111" spans="2:15">
      <c r="B111" s="241">
        <f>+B109+1</f>
        <v>54</v>
      </c>
      <c r="C111" s="242"/>
      <c r="D111" s="237" t="s">
        <v>205</v>
      </c>
      <c r="E111" s="240" t="str">
        <f>"(Worksheet A ln "&amp;'WS A - RB Support'!A69&amp;"."&amp;'WS A - RB Support'!F68&amp;" &amp; "&amp;"ln "&amp;'WS A - RB Support'!A71&amp;"."&amp;'WS A - RB Support'!F68&amp;")"</f>
        <v>(Worksheet A ln 44.(e) &amp; ln 45.(e))</v>
      </c>
      <c r="F111" s="240"/>
      <c r="G111" s="253">
        <f>'WS A - RB Support'!F69</f>
        <v>166629.72</v>
      </c>
      <c r="H111" s="3"/>
      <c r="I111" s="254" t="s">
        <v>129</v>
      </c>
      <c r="J111" s="255"/>
      <c r="K111" s="240"/>
      <c r="L111" s="253">
        <f>'WS A - RB Support'!F71</f>
        <v>0</v>
      </c>
      <c r="M111" s="240"/>
    </row>
    <row r="112" spans="2:15">
      <c r="B112" s="241"/>
      <c r="C112" s="242"/>
      <c r="D112" s="237"/>
      <c r="E112" s="240"/>
      <c r="F112" s="240"/>
      <c r="G112" s="253"/>
      <c r="H112" s="3"/>
      <c r="I112" s="254"/>
      <c r="J112" s="255"/>
      <c r="K112" s="240"/>
      <c r="L112" s="253"/>
      <c r="M112" s="240"/>
    </row>
    <row r="113" spans="2:13">
      <c r="B113" s="241">
        <f>+B111+1</f>
        <v>55</v>
      </c>
      <c r="C113" s="242"/>
      <c r="D113" s="237" t="s">
        <v>327</v>
      </c>
      <c r="E113" s="240" t="str">
        <f>"(Worksheet A ln "&amp;'WS A - RB Support'!A80&amp;"."&amp;'WS A - RB Support'!F68&amp;")"</f>
        <v>(Worksheet A ln 51.(e))</v>
      </c>
      <c r="F113" s="240"/>
      <c r="G113" s="253">
        <f>'WS A - RB Support'!F80</f>
        <v>0</v>
      </c>
      <c r="H113" s="3"/>
      <c r="I113" s="254" t="s">
        <v>129</v>
      </c>
      <c r="J113" s="240"/>
      <c r="K113" s="240"/>
      <c r="L113" s="253">
        <f>+G113</f>
        <v>0</v>
      </c>
      <c r="M113" s="240"/>
    </row>
    <row r="114" spans="2:13">
      <c r="B114" s="241"/>
      <c r="C114" s="242"/>
      <c r="D114" s="237"/>
      <c r="E114" s="240"/>
      <c r="F114" s="240"/>
      <c r="G114" s="253"/>
      <c r="H114" s="3"/>
      <c r="I114" s="254"/>
      <c r="J114" s="240"/>
      <c r="K114" s="240"/>
      <c r="L114" s="253"/>
      <c r="M114" s="240"/>
    </row>
    <row r="115" spans="2:13" ht="14.25" customHeight="1">
      <c r="B115" s="241">
        <f>+B113+1</f>
        <v>56</v>
      </c>
      <c r="C115" s="295"/>
      <c r="D115" s="249" t="s">
        <v>738</v>
      </c>
      <c r="E115" s="240" t="str">
        <f>"(Worksheet A ln "&amp;'WS A - RB Support'!A88&amp;"."&amp;'WS A - RB Support'!F68&amp;")"</f>
        <v>(Worksheet A ln 54.(e))</v>
      </c>
      <c r="F115" s="240"/>
      <c r="G115" s="253">
        <f>-'WS A - RB Support'!F88</f>
        <v>-437293.25</v>
      </c>
      <c r="H115" s="253"/>
      <c r="I115" s="254" t="s">
        <v>132</v>
      </c>
      <c r="J115" s="255">
        <f>L257</f>
        <v>2.4194780770061278E-2</v>
      </c>
      <c r="K115" s="240"/>
      <c r="L115" s="253">
        <f>G115*J115</f>
        <v>-10580.214315977599</v>
      </c>
      <c r="M115" s="240"/>
    </row>
    <row r="116" spans="2:13">
      <c r="B116" s="241"/>
      <c r="C116" s="242"/>
      <c r="D116" s="237"/>
      <c r="E116" s="240"/>
      <c r="F116" s="240"/>
      <c r="G116" s="253"/>
      <c r="H116" s="3"/>
      <c r="I116" s="254"/>
      <c r="J116" s="240"/>
      <c r="K116" s="240"/>
      <c r="L116" s="253"/>
      <c r="M116" s="240"/>
    </row>
    <row r="117" spans="2:13">
      <c r="B117" s="241">
        <f>+B115+1</f>
        <v>57</v>
      </c>
      <c r="C117" s="242"/>
      <c r="D117" s="237" t="s">
        <v>93</v>
      </c>
      <c r="E117" s="240" t="s">
        <v>497</v>
      </c>
      <c r="F117" s="240"/>
      <c r="G117" s="253"/>
      <c r="H117" s="3"/>
      <c r="I117" s="254"/>
      <c r="J117" s="240"/>
      <c r="K117" s="240"/>
      <c r="L117" s="253"/>
      <c r="M117" s="240"/>
    </row>
    <row r="118" spans="2:13">
      <c r="B118" s="241">
        <f t="shared" ref="B118:B126" si="6">+B117+1</f>
        <v>58</v>
      </c>
      <c r="C118" s="295"/>
      <c r="D118" s="237" t="s">
        <v>204</v>
      </c>
      <c r="E118" s="233" t="str">
        <f>"(1/8 * ln "&amp;B155&amp;")"</f>
        <v>(1/8 * ln 78)</v>
      </c>
      <c r="G118" s="253">
        <f>+G155/8</f>
        <v>200883.07749999873</v>
      </c>
      <c r="H118" s="240"/>
      <c r="I118" s="254"/>
      <c r="J118" s="296"/>
      <c r="K118" s="240"/>
      <c r="L118" s="253">
        <f>+L155/8</f>
        <v>186969.18544893496</v>
      </c>
      <c r="M118" s="237"/>
    </row>
    <row r="119" spans="2:13">
      <c r="B119" s="241">
        <f t="shared" si="6"/>
        <v>59</v>
      </c>
      <c r="C119" s="295"/>
      <c r="D119" s="237" t="s">
        <v>335</v>
      </c>
      <c r="E119" s="240" t="s">
        <v>540</v>
      </c>
      <c r="F119" s="240"/>
      <c r="G119" s="253">
        <f>'WS C  - Working Capital'!I17</f>
        <v>879.5</v>
      </c>
      <c r="H119" s="3"/>
      <c r="I119" s="254" t="s">
        <v>120</v>
      </c>
      <c r="J119" s="255">
        <f>L239</f>
        <v>0.93073636553052175</v>
      </c>
      <c r="K119" s="240"/>
      <c r="L119" s="253">
        <f>+J119*G119</f>
        <v>818.58263348409389</v>
      </c>
      <c r="M119" s="240"/>
    </row>
    <row r="120" spans="2:13">
      <c r="B120" s="241" t="s">
        <v>1268</v>
      </c>
      <c r="C120" s="295"/>
      <c r="D120" s="237" t="s">
        <v>1269</v>
      </c>
      <c r="E120" s="240" t="s">
        <v>1270</v>
      </c>
      <c r="F120" s="240"/>
      <c r="G120" s="253">
        <f>'WS C  - Working Capital'!I19</f>
        <v>0</v>
      </c>
      <c r="H120" s="186"/>
      <c r="I120" s="254" t="s">
        <v>1271</v>
      </c>
      <c r="J120" s="255">
        <f>L246</f>
        <v>1</v>
      </c>
      <c r="K120" s="240"/>
      <c r="L120" s="253">
        <f>+J120*G120</f>
        <v>0</v>
      </c>
      <c r="M120" s="240"/>
    </row>
    <row r="121" spans="2:13">
      <c r="B121" s="241">
        <f>+B119+1</f>
        <v>60</v>
      </c>
      <c r="C121" s="295"/>
      <c r="D121" s="237" t="s">
        <v>336</v>
      </c>
      <c r="E121" s="240" t="s">
        <v>541</v>
      </c>
      <c r="F121" s="240"/>
      <c r="G121" s="253">
        <f>'WS C  - Working Capital'!I21</f>
        <v>6096.5</v>
      </c>
      <c r="H121" s="3"/>
      <c r="I121" s="254" t="s">
        <v>132</v>
      </c>
      <c r="J121" s="255">
        <f>L257</f>
        <v>2.4194780770061278E-2</v>
      </c>
      <c r="K121" s="240"/>
      <c r="L121" s="253">
        <f>+J121*G121</f>
        <v>147.50348096467857</v>
      </c>
      <c r="M121" s="240"/>
    </row>
    <row r="122" spans="2:13">
      <c r="B122" s="241">
        <f t="shared" si="6"/>
        <v>61</v>
      </c>
      <c r="C122" s="295"/>
      <c r="D122" s="237" t="s">
        <v>528</v>
      </c>
      <c r="E122" s="240" t="s">
        <v>542</v>
      </c>
      <c r="F122" s="240"/>
      <c r="G122" s="253">
        <f>'WS C  - Working Capital'!I23</f>
        <v>0</v>
      </c>
      <c r="H122" s="3"/>
      <c r="I122" s="254" t="s">
        <v>749</v>
      </c>
      <c r="J122" s="255">
        <f>J77</f>
        <v>9.351570482586892E-2</v>
      </c>
      <c r="K122" s="240"/>
      <c r="L122" s="253">
        <f>+J122*G122</f>
        <v>0</v>
      </c>
      <c r="M122" s="240"/>
    </row>
    <row r="123" spans="2:13">
      <c r="B123" s="241">
        <f t="shared" si="6"/>
        <v>62</v>
      </c>
      <c r="C123" s="295"/>
      <c r="D123" s="237" t="s">
        <v>208</v>
      </c>
      <c r="E123" s="240" t="s">
        <v>571</v>
      </c>
      <c r="F123" s="240"/>
      <c r="G123" s="253">
        <f>'WS C  - Working Capital'!J33</f>
        <v>45592051.016000003</v>
      </c>
      <c r="H123" s="3"/>
      <c r="I123" s="254" t="s">
        <v>132</v>
      </c>
      <c r="J123" s="255">
        <f>L257</f>
        <v>2.4194780770061278E-2</v>
      </c>
      <c r="K123" s="240"/>
      <c r="L123" s="253">
        <f>+J123*G123</f>
        <v>1103089.6791895695</v>
      </c>
      <c r="M123" s="240"/>
    </row>
    <row r="124" spans="2:13">
      <c r="B124" s="241">
        <f t="shared" si="6"/>
        <v>63</v>
      </c>
      <c r="C124" s="295"/>
      <c r="D124" s="237" t="s">
        <v>209</v>
      </c>
      <c r="E124" s="240" t="s">
        <v>570</v>
      </c>
      <c r="F124" s="240"/>
      <c r="G124" s="253">
        <f>'WS C  - Working Capital'!I33</f>
        <v>671865.46849999996</v>
      </c>
      <c r="H124" s="3"/>
      <c r="I124" s="254" t="s">
        <v>749</v>
      </c>
      <c r="J124" s="255">
        <f>J77</f>
        <v>9.351570482586892E-2</v>
      </c>
      <c r="K124" s="240"/>
      <c r="L124" s="253">
        <f>+G124*J124</f>
        <v>62829.972834940127</v>
      </c>
      <c r="M124" s="240"/>
    </row>
    <row r="125" spans="2:13">
      <c r="B125" s="241">
        <f t="shared" si="6"/>
        <v>64</v>
      </c>
      <c r="C125" s="295"/>
      <c r="D125" s="237" t="s">
        <v>305</v>
      </c>
      <c r="E125" s="240" t="s">
        <v>572</v>
      </c>
      <c r="F125" s="240"/>
      <c r="G125" s="253">
        <f>'WS C  - Working Capital'!G33</f>
        <v>0</v>
      </c>
      <c r="H125" s="3"/>
      <c r="I125" s="254" t="s">
        <v>129</v>
      </c>
      <c r="J125" s="255">
        <v>1</v>
      </c>
      <c r="K125" s="240"/>
      <c r="L125" s="253">
        <f>+G125*J125</f>
        <v>0</v>
      </c>
      <c r="M125" s="240"/>
    </row>
    <row r="126" spans="2:13" ht="15.75" thickBot="1">
      <c r="B126" s="241">
        <f t="shared" si="6"/>
        <v>65</v>
      </c>
      <c r="C126" s="295"/>
      <c r="D126" s="237" t="s">
        <v>105</v>
      </c>
      <c r="E126" s="240" t="s">
        <v>573</v>
      </c>
      <c r="F126" s="240"/>
      <c r="G126" s="288">
        <f>'WS C  - Working Capital'!E33</f>
        <v>-45005403.170000002</v>
      </c>
      <c r="H126" s="253"/>
      <c r="I126" s="254" t="s">
        <v>127</v>
      </c>
      <c r="J126" s="255">
        <v>0</v>
      </c>
      <c r="K126" s="240"/>
      <c r="L126" s="288">
        <f>+G126*J126</f>
        <v>0</v>
      </c>
      <c r="M126" s="240"/>
    </row>
    <row r="127" spans="2:13">
      <c r="B127" s="241">
        <f>+B126+1</f>
        <v>66</v>
      </c>
      <c r="C127" s="295"/>
      <c r="D127" s="237" t="s">
        <v>44</v>
      </c>
      <c r="E127" s="237" t="str">
        <f>"(sum lns "&amp;B118&amp;" to "&amp;B126&amp;")"</f>
        <v>(sum lns 58 to 65)</v>
      </c>
      <c r="F127" s="237"/>
      <c r="G127" s="253">
        <f>SUM(G118:G126)</f>
        <v>1466372.3920000046</v>
      </c>
      <c r="H127" s="237"/>
      <c r="I127" s="242"/>
      <c r="J127" s="237"/>
      <c r="K127" s="237"/>
      <c r="L127" s="253">
        <f>SUM(L118:L126)</f>
        <v>1353854.9235878934</v>
      </c>
      <c r="M127" s="237"/>
    </row>
    <row r="128" spans="2:13">
      <c r="B128" s="241"/>
      <c r="C128" s="242"/>
      <c r="D128" s="237"/>
      <c r="E128" s="237"/>
      <c r="F128" s="237"/>
      <c r="G128" s="253"/>
      <c r="H128" s="237"/>
      <c r="I128" s="242"/>
      <c r="J128" s="237"/>
      <c r="K128" s="237"/>
      <c r="L128" s="253"/>
      <c r="M128" s="237"/>
    </row>
    <row r="129" spans="2:15">
      <c r="B129" s="241">
        <f>+B127+1</f>
        <v>67</v>
      </c>
      <c r="C129" s="242"/>
      <c r="D129" s="237" t="s">
        <v>31</v>
      </c>
      <c r="E129" s="237" t="s">
        <v>543</v>
      </c>
      <c r="F129" s="237"/>
      <c r="G129" s="253">
        <f>+'WS D IPP Credits'!C23</f>
        <v>0</v>
      </c>
      <c r="H129" s="237"/>
      <c r="I129" s="303" t="s">
        <v>129</v>
      </c>
      <c r="J129" s="255">
        <v>1</v>
      </c>
      <c r="K129" s="240"/>
      <c r="L129" s="253">
        <f>+J129*G129</f>
        <v>0</v>
      </c>
      <c r="M129" s="237"/>
    </row>
    <row r="130" spans="2:15" ht="15.75" thickBot="1">
      <c r="B130" s="241"/>
      <c r="E130" s="240"/>
      <c r="F130" s="240"/>
      <c r="G130" s="288"/>
      <c r="H130" s="240"/>
      <c r="I130" s="254"/>
      <c r="J130" s="240"/>
      <c r="K130" s="240"/>
      <c r="L130" s="288"/>
      <c r="M130" s="240"/>
    </row>
    <row r="131" spans="2:15" ht="15.75" thickBot="1">
      <c r="B131" s="241">
        <f>+B129+1</f>
        <v>68</v>
      </c>
      <c r="C131" s="242"/>
      <c r="D131" s="237" t="str">
        <f>"RATE BASE  (sum lns "&amp;B100&amp;", "&amp;B109&amp;", "&amp;B111&amp;", "&amp;B113&amp;", "&amp;B115&amp;", "&amp;B127&amp;", "&amp;B129&amp;")"</f>
        <v>RATE BASE  (sum lns 46, 53, 54, 55, 56, 66, 67)</v>
      </c>
      <c r="E131" s="240"/>
      <c r="F131" s="240"/>
      <c r="G131" s="814">
        <f>+G127+G111+G109+G100+G129+G113+G115</f>
        <v>820445269.54815364</v>
      </c>
      <c r="H131" s="240"/>
      <c r="I131" s="240"/>
      <c r="J131" s="296"/>
      <c r="K131" s="240"/>
      <c r="L131" s="814">
        <f>+L127+L111+L109+L100+L129+L113+L115</f>
        <v>106350644.87933302</v>
      </c>
      <c r="M131" s="240"/>
    </row>
    <row r="132" spans="2:15" ht="16.5" thickTop="1">
      <c r="B132" s="241"/>
      <c r="C132" s="67"/>
      <c r="D132" s="67"/>
      <c r="E132" s="67"/>
      <c r="F132" s="67"/>
      <c r="G132" s="67"/>
      <c r="H132" s="67"/>
      <c r="I132" s="236"/>
      <c r="J132" s="236"/>
      <c r="K132" s="236"/>
      <c r="L132" s="783"/>
    </row>
    <row r="133" spans="2:15">
      <c r="B133" s="304"/>
      <c r="C133" s="242"/>
      <c r="D133" s="237"/>
      <c r="E133" s="240"/>
      <c r="F133" s="240"/>
      <c r="G133" s="240"/>
      <c r="H133" s="240"/>
      <c r="I133" s="240"/>
      <c r="J133" s="240"/>
      <c r="K133" s="240"/>
      <c r="L133" s="240"/>
      <c r="M133" s="240"/>
    </row>
    <row r="134" spans="2:15">
      <c r="B134" s="304"/>
      <c r="C134" s="242"/>
      <c r="D134" s="237"/>
      <c r="E134" s="240"/>
      <c r="F134" s="254" t="str">
        <f>F54</f>
        <v xml:space="preserve">AEP East Companies </v>
      </c>
      <c r="G134" s="254"/>
      <c r="H134" s="240"/>
      <c r="I134" s="240"/>
      <c r="J134" s="240"/>
      <c r="K134" s="240"/>
      <c r="L134" s="240"/>
      <c r="M134" s="305"/>
    </row>
    <row r="135" spans="2:15">
      <c r="B135" s="304"/>
      <c r="C135" s="242"/>
      <c r="D135" s="237"/>
      <c r="E135" s="240"/>
      <c r="F135" s="254" t="str">
        <f>F55</f>
        <v>Transmission Cost of Service Formula Rate</v>
      </c>
      <c r="G135" s="254"/>
      <c r="H135" s="240"/>
      <c r="I135" s="240"/>
      <c r="J135" s="240"/>
      <c r="K135" s="240"/>
      <c r="L135" s="240"/>
      <c r="M135" s="305"/>
    </row>
    <row r="136" spans="2:15">
      <c r="B136" s="304"/>
      <c r="C136" s="242"/>
      <c r="E136" s="240"/>
      <c r="F136" s="254" t="str">
        <f>F56</f>
        <v>Utilizing  Actual/Projected FERC Form 1 Data</v>
      </c>
      <c r="G136" s="240"/>
      <c r="H136" s="240"/>
      <c r="I136" s="240"/>
      <c r="J136" s="240"/>
      <c r="K136" s="240"/>
      <c r="L136" s="240"/>
      <c r="M136" s="272"/>
    </row>
    <row r="137" spans="2:15">
      <c r="B137" s="304"/>
      <c r="C137" s="242"/>
      <c r="E137" s="240"/>
      <c r="F137" s="254"/>
      <c r="G137" s="240"/>
      <c r="H137" s="240"/>
      <c r="I137" s="240"/>
      <c r="J137" s="240"/>
      <c r="K137" s="240"/>
      <c r="L137" s="240"/>
      <c r="M137" s="240"/>
    </row>
    <row r="138" spans="2:15">
      <c r="B138" s="304"/>
      <c r="C138" s="242"/>
      <c r="E138" s="306"/>
      <c r="F138" s="254" t="str">
        <f>F58</f>
        <v>WHEELING POWER COMPANY</v>
      </c>
      <c r="G138" s="306"/>
      <c r="H138" s="306"/>
      <c r="I138" s="306"/>
      <c r="J138" s="306"/>
      <c r="K138" s="306"/>
      <c r="M138" s="240"/>
    </row>
    <row r="139" spans="2:15">
      <c r="B139" s="304"/>
      <c r="C139" s="242"/>
      <c r="E139" s="306"/>
      <c r="F139" s="254"/>
      <c r="G139" s="306"/>
      <c r="H139" s="306"/>
      <c r="I139" s="306"/>
      <c r="J139" s="306"/>
      <c r="K139" s="306"/>
      <c r="M139" s="240"/>
    </row>
    <row r="140" spans="2:15">
      <c r="B140" s="304"/>
      <c r="D140" s="242" t="s">
        <v>121</v>
      </c>
      <c r="E140" s="242" t="s">
        <v>122</v>
      </c>
      <c r="F140" s="242"/>
      <c r="G140" s="242" t="s">
        <v>123</v>
      </c>
      <c r="H140" s="240"/>
      <c r="I140" s="1246" t="s">
        <v>124</v>
      </c>
      <c r="J140" s="1250"/>
      <c r="K140" s="240"/>
      <c r="L140" s="243" t="s">
        <v>125</v>
      </c>
      <c r="M140" s="240"/>
      <c r="N140" s="243"/>
    </row>
    <row r="141" spans="2:15" ht="15.75">
      <c r="B141" s="304"/>
      <c r="D141" s="242"/>
      <c r="E141" s="242"/>
      <c r="F141" s="242"/>
      <c r="G141" s="242"/>
      <c r="H141" s="240"/>
      <c r="I141" s="240"/>
      <c r="J141" s="274"/>
      <c r="K141" s="240"/>
      <c r="M141" s="240"/>
      <c r="N141" s="307"/>
      <c r="O141" s="236"/>
    </row>
    <row r="142" spans="2:15" ht="15.75">
      <c r="B142" s="304"/>
      <c r="C142" s="242"/>
      <c r="D142" s="307" t="s">
        <v>101</v>
      </c>
      <c r="E142" s="276" t="str">
        <f>E62</f>
        <v>Data Sources</v>
      </c>
      <c r="F142" s="277"/>
      <c r="G142" s="240"/>
      <c r="H142" s="240"/>
      <c r="I142" s="240"/>
      <c r="J142" s="242"/>
      <c r="K142" s="240"/>
      <c r="L142" s="276" t="str">
        <f>L62</f>
        <v>Total</v>
      </c>
      <c r="N142" s="307"/>
      <c r="O142" s="236"/>
    </row>
    <row r="143" spans="2:15" ht="15.75">
      <c r="B143" s="304"/>
      <c r="C143" s="242"/>
      <c r="D143" s="279" t="s">
        <v>102</v>
      </c>
      <c r="E143" s="308" t="str">
        <f>E63</f>
        <v>(See "General Notes")</v>
      </c>
      <c r="F143" s="240"/>
      <c r="G143" s="308" t="str">
        <f>G63</f>
        <v>TO Total</v>
      </c>
      <c r="H143" s="281"/>
      <c r="I143" s="1248" t="str">
        <f>I63</f>
        <v>Allocator</v>
      </c>
      <c r="J143" s="1249"/>
      <c r="K143" s="281"/>
      <c r="L143" s="308" t="str">
        <f>L63</f>
        <v>Transmission</v>
      </c>
      <c r="M143" s="240"/>
      <c r="N143" s="307"/>
      <c r="O143" s="236"/>
    </row>
    <row r="144" spans="2:15" ht="15.75">
      <c r="B144" s="241" t="str">
        <f>B64</f>
        <v>Line</v>
      </c>
      <c r="D144" s="237"/>
      <c r="E144" s="240"/>
      <c r="F144" s="240"/>
      <c r="G144" s="279"/>
      <c r="H144" s="309"/>
      <c r="I144" s="307"/>
      <c r="K144" s="309"/>
      <c r="L144" s="279"/>
      <c r="M144" s="240"/>
    </row>
    <row r="145" spans="2:15">
      <c r="B145" s="241" t="str">
        <f>B65</f>
        <v>No.</v>
      </c>
      <c r="C145" s="242"/>
      <c r="D145" s="237" t="s">
        <v>103</v>
      </c>
      <c r="E145" s="240"/>
      <c r="F145" s="240"/>
      <c r="G145" s="240"/>
      <c r="H145" s="240"/>
      <c r="I145" s="254"/>
      <c r="J145" s="240"/>
      <c r="K145" s="240"/>
      <c r="L145" s="240"/>
      <c r="M145" s="240"/>
    </row>
    <row r="146" spans="2:15">
      <c r="B146" s="241">
        <f>+B131+1</f>
        <v>69</v>
      </c>
      <c r="C146" s="242"/>
      <c r="D146" s="237" t="s">
        <v>126</v>
      </c>
      <c r="E146" s="240" t="s">
        <v>10</v>
      </c>
      <c r="F146" s="240"/>
      <c r="G146" s="600">
        <v>194818618</v>
      </c>
      <c r="H146" s="240"/>
      <c r="I146" s="254"/>
      <c r="J146" s="255"/>
      <c r="K146" s="240"/>
      <c r="L146" s="253"/>
      <c r="M146" s="240"/>
    </row>
    <row r="147" spans="2:15">
      <c r="B147" s="241">
        <f>+B146+1</f>
        <v>70</v>
      </c>
      <c r="C147" s="242"/>
      <c r="D147" s="237" t="s">
        <v>130</v>
      </c>
      <c r="E147" s="240" t="s">
        <v>11</v>
      </c>
      <c r="F147" s="240"/>
      <c r="G147" s="600">
        <v>12156104</v>
      </c>
      <c r="H147" s="240"/>
      <c r="I147" s="254"/>
      <c r="J147" s="255"/>
      <c r="K147" s="240"/>
      <c r="L147" s="253"/>
      <c r="M147" s="240"/>
    </row>
    <row r="148" spans="2:15">
      <c r="B148" s="241">
        <f t="shared" ref="B148:B153" si="7">+B147+1</f>
        <v>71</v>
      </c>
      <c r="C148" s="242"/>
      <c r="D148" s="237" t="s">
        <v>246</v>
      </c>
      <c r="E148" s="240" t="s">
        <v>202</v>
      </c>
      <c r="F148" s="240"/>
      <c r="G148" s="600">
        <f>1533041+1340578+3251</f>
        <v>2876870</v>
      </c>
      <c r="H148" s="240"/>
      <c r="I148" s="254"/>
      <c r="J148" s="255"/>
      <c r="K148" s="240"/>
      <c r="L148" s="253"/>
      <c r="M148" s="240"/>
    </row>
    <row r="149" spans="2:15">
      <c r="B149" s="241">
        <f t="shared" si="7"/>
        <v>72</v>
      </c>
      <c r="C149" s="242"/>
      <c r="D149" s="237" t="s">
        <v>247</v>
      </c>
      <c r="E149" s="240" t="s">
        <v>417</v>
      </c>
      <c r="F149" s="240"/>
      <c r="G149" s="600">
        <v>1113784</v>
      </c>
      <c r="H149" s="240"/>
      <c r="I149" s="254"/>
      <c r="J149" s="255"/>
      <c r="K149" s="240"/>
      <c r="L149" s="253"/>
      <c r="M149" s="240"/>
    </row>
    <row r="150" spans="2:15" ht="15.75" thickBot="1">
      <c r="B150" s="241">
        <f t="shared" si="7"/>
        <v>73</v>
      </c>
      <c r="C150" s="242"/>
      <c r="D150" s="237" t="s">
        <v>135</v>
      </c>
      <c r="E150" s="240" t="s">
        <v>416</v>
      </c>
      <c r="F150" s="240"/>
      <c r="G150" s="601">
        <v>102244755</v>
      </c>
      <c r="H150" s="253"/>
      <c r="I150" s="67"/>
      <c r="J150" s="67"/>
      <c r="K150"/>
      <c r="L150"/>
      <c r="M150" s="237"/>
      <c r="N150" s="240"/>
      <c r="O150" s="240"/>
    </row>
    <row r="151" spans="2:15">
      <c r="B151" s="241">
        <f t="shared" si="7"/>
        <v>74</v>
      </c>
      <c r="C151" s="242"/>
      <c r="D151" s="237" t="s">
        <v>248</v>
      </c>
      <c r="E151" s="240" t="str">
        <f>"(sum lns "&amp;B146&amp;"  to "&amp;B150&amp;")"</f>
        <v>(sum lns 69  to 73)</v>
      </c>
      <c r="F151" s="240"/>
      <c r="G151" s="253">
        <f>SUM(G146:G150)</f>
        <v>313210131</v>
      </c>
      <c r="H151" s="253"/>
      <c r="I151" s="67"/>
      <c r="J151" s="67"/>
      <c r="K151"/>
      <c r="L151"/>
      <c r="M151" s="237"/>
      <c r="N151" s="240"/>
      <c r="O151" s="240"/>
    </row>
    <row r="152" spans="2:15">
      <c r="B152" s="241">
        <f t="shared" si="7"/>
        <v>75</v>
      </c>
      <c r="C152" s="242"/>
      <c r="D152" s="237" t="s">
        <v>328</v>
      </c>
      <c r="E152" s="240" t="str">
        <f>"(Note G) (Worksheet F, ln "&amp;'WS F Misc Exp'!A33&amp;".C)"</f>
        <v>(Note G) (Worksheet F, ln 14.C)</v>
      </c>
      <c r="F152" s="240"/>
      <c r="G152" s="253">
        <f>'WS F Misc Exp'!D33</f>
        <v>1624327.2600000002</v>
      </c>
      <c r="H152" s="253"/>
      <c r="I152" s="67"/>
      <c r="J152" s="67"/>
      <c r="K152"/>
      <c r="L152"/>
      <c r="M152" s="237"/>
      <c r="N152" s="240"/>
      <c r="O152" s="240"/>
    </row>
    <row r="153" spans="2:15">
      <c r="B153" s="241">
        <f t="shared" si="7"/>
        <v>76</v>
      </c>
      <c r="C153" s="242"/>
      <c r="D153" s="237" t="s">
        <v>23</v>
      </c>
      <c r="E153" s="240" t="s">
        <v>100</v>
      </c>
      <c r="F153" s="240"/>
      <c r="G153" s="600">
        <v>99013363.120000005</v>
      </c>
      <c r="H153" s="253"/>
      <c r="I153" s="67"/>
      <c r="J153" s="67"/>
      <c r="K153"/>
      <c r="L153"/>
      <c r="M153" s="237"/>
      <c r="N153" s="240"/>
      <c r="O153" s="240"/>
    </row>
    <row r="154" spans="2:15" ht="15.75" thickBot="1">
      <c r="B154" s="241">
        <f>+B153+1</f>
        <v>77</v>
      </c>
      <c r="C154" s="242"/>
      <c r="D154" s="237" t="s">
        <v>332</v>
      </c>
      <c r="E154" s="240" t="s">
        <v>479</v>
      </c>
      <c r="F154" s="240"/>
      <c r="G154" s="288">
        <f>+'WS F Misc Exp'!D21</f>
        <v>0</v>
      </c>
      <c r="H154" s="253"/>
      <c r="I154" s="67"/>
      <c r="J154" s="67"/>
      <c r="K154"/>
      <c r="L154"/>
      <c r="M154" s="237"/>
      <c r="N154" s="240"/>
      <c r="O154" s="240"/>
    </row>
    <row r="155" spans="2:15">
      <c r="B155" s="241">
        <f>+B154+1</f>
        <v>78</v>
      </c>
      <c r="C155" s="242"/>
      <c r="D155" s="237" t="s">
        <v>384</v>
      </c>
      <c r="E155" s="240" t="str">
        <f>"(lns "&amp;B150&amp;" - "&amp;B152&amp;" - "&amp;B153&amp;" - "&amp;B154&amp;")"</f>
        <v>(lns 73 - 75 - 76 - 77)</v>
      </c>
      <c r="F155" s="237"/>
      <c r="G155" s="253">
        <f>G150-G152-G153-G154</f>
        <v>1607064.6199999899</v>
      </c>
      <c r="H155" s="240"/>
      <c r="I155" s="254" t="s">
        <v>120</v>
      </c>
      <c r="J155" s="255">
        <f>L239</f>
        <v>0.93073636553052175</v>
      </c>
      <c r="K155" s="240"/>
      <c r="L155" s="253">
        <f>+J155*G155</f>
        <v>1495753.4835914797</v>
      </c>
      <c r="M155" s="237"/>
      <c r="N155" s="240"/>
      <c r="O155" s="240"/>
    </row>
    <row r="156" spans="2:15">
      <c r="B156" s="241"/>
      <c r="C156" s="242"/>
      <c r="D156" s="237"/>
      <c r="E156" s="240"/>
      <c r="F156" s="240"/>
      <c r="G156" s="67"/>
      <c r="H156" s="253"/>
      <c r="I156" s="67"/>
      <c r="J156" s="67"/>
      <c r="K156"/>
      <c r="L156"/>
      <c r="M156" s="237"/>
      <c r="N156" s="240"/>
      <c r="O156" s="240"/>
    </row>
    <row r="157" spans="2:15">
      <c r="B157" s="241">
        <f>+B155+1</f>
        <v>79</v>
      </c>
      <c r="C157" s="242"/>
      <c r="D157" s="237" t="s">
        <v>104</v>
      </c>
      <c r="E157" s="240" t="s">
        <v>740</v>
      </c>
      <c r="F157" s="240"/>
      <c r="G157" s="600">
        <v>7516769</v>
      </c>
      <c r="H157" s="253"/>
      <c r="I157" s="294"/>
      <c r="J157" s="294"/>
      <c r="K157" s="240"/>
      <c r="L157" s="253"/>
      <c r="M157" s="240"/>
      <c r="N157" s="240"/>
      <c r="O157" s="240"/>
    </row>
    <row r="158" spans="2:15">
      <c r="B158" s="241">
        <f t="shared" ref="B158:B172" si="8">+B157+1</f>
        <v>80</v>
      </c>
      <c r="C158" s="242"/>
      <c r="D158" s="237" t="s">
        <v>330</v>
      </c>
      <c r="E158" s="240" t="s">
        <v>418</v>
      </c>
      <c r="F158" s="240"/>
      <c r="G158" s="600">
        <v>351559.43</v>
      </c>
      <c r="H158" s="253"/>
      <c r="I158" s="294"/>
      <c r="J158" s="237"/>
      <c r="K158" s="240"/>
      <c r="L158" s="253"/>
      <c r="M158"/>
      <c r="N158" s="240"/>
      <c r="O158" s="240"/>
    </row>
    <row r="159" spans="2:15">
      <c r="B159" s="241">
        <f t="shared" si="8"/>
        <v>81</v>
      </c>
      <c r="C159" s="242"/>
      <c r="D159" s="909" t="s">
        <v>845</v>
      </c>
      <c r="E159" s="240" t="str">
        <f>"PBOP Worksheet O Line "&amp;'WS O - PBOP'!A37&amp;" &amp; "&amp;'WS O - PBOP'!A39&amp;", (Note K)"</f>
        <v>PBOP Worksheet O Line 9 &amp; 10, (Note K)</v>
      </c>
      <c r="F159" s="240"/>
      <c r="G159" s="910">
        <f>'WS O - PBOP'!J37+'WS O - PBOP'!J39</f>
        <v>-461466.96999999991</v>
      </c>
      <c r="H159" s="253"/>
      <c r="I159" s="294"/>
      <c r="J159" s="237"/>
      <c r="K159" s="240"/>
      <c r="L159" s="253"/>
      <c r="M159"/>
      <c r="N159" s="240"/>
      <c r="O159" s="240"/>
    </row>
    <row r="160" spans="2:15">
      <c r="B160" s="241">
        <f t="shared" si="8"/>
        <v>82</v>
      </c>
      <c r="C160" s="242"/>
      <c r="D160" s="237" t="s">
        <v>846</v>
      </c>
      <c r="E160" s="240" t="str">
        <f>"PBOP Worksheet O  Line "&amp;'WS O - PBOP'!A41&amp;", (Note K)"</f>
        <v>PBOP Worksheet O  Line 11, (Note K)</v>
      </c>
      <c r="F160" s="240"/>
      <c r="G160" s="910">
        <f>'WS O - PBOP'!J41</f>
        <v>0</v>
      </c>
      <c r="H160" s="253"/>
      <c r="I160" s="294"/>
      <c r="J160" s="237"/>
      <c r="K160" s="240"/>
      <c r="L160" s="253"/>
      <c r="M160"/>
      <c r="N160" s="240"/>
      <c r="O160" s="240"/>
    </row>
    <row r="161" spans="2:15">
      <c r="B161" s="241">
        <f t="shared" si="8"/>
        <v>83</v>
      </c>
      <c r="C161" s="242"/>
      <c r="D161" s="237" t="s">
        <v>847</v>
      </c>
      <c r="E161" s="240" t="str">
        <f>"PBOP Worksheet O Line "&amp;'WS O - PBOP'!A45&amp;", (Note K)"</f>
        <v>PBOP Worksheet O Line 13, (Note K)</v>
      </c>
      <c r="F161" s="240"/>
      <c r="G161" s="910">
        <f>'WS O - PBOP'!J45</f>
        <v>-411136.7497052509</v>
      </c>
      <c r="H161" s="253"/>
      <c r="I161" s="294"/>
      <c r="J161" s="237"/>
      <c r="K161" s="240"/>
      <c r="L161" s="253"/>
      <c r="M161"/>
      <c r="N161" s="240"/>
      <c r="O161" s="240"/>
    </row>
    <row r="162" spans="2:15">
      <c r="B162" s="241">
        <f t="shared" si="8"/>
        <v>84</v>
      </c>
      <c r="C162" s="242"/>
      <c r="D162" s="237" t="s">
        <v>329</v>
      </c>
      <c r="E162" s="240" t="s">
        <v>96</v>
      </c>
      <c r="F162" s="240"/>
      <c r="G162" s="600">
        <f>'WS F Misc Exp'!D42</f>
        <v>1412467.91</v>
      </c>
      <c r="H162" s="253"/>
      <c r="I162" s="294"/>
      <c r="J162" s="310"/>
      <c r="K162" s="240"/>
      <c r="L162" s="253"/>
      <c r="M162" s="240"/>
      <c r="N162" s="240"/>
      <c r="O162" s="240"/>
    </row>
    <row r="163" spans="2:15">
      <c r="B163" s="241">
        <f t="shared" si="8"/>
        <v>85</v>
      </c>
      <c r="C163" s="242"/>
      <c r="D163" s="237" t="s">
        <v>107</v>
      </c>
      <c r="E163" s="240" t="s">
        <v>97</v>
      </c>
      <c r="F163" s="240"/>
      <c r="G163" s="600">
        <f>'WS F Misc Exp'!D62</f>
        <v>2381.44</v>
      </c>
      <c r="H163" s="253"/>
      <c r="I163" s="294"/>
      <c r="J163" s="294"/>
      <c r="K163" s="240"/>
      <c r="L163" s="253"/>
      <c r="M163" s="240"/>
      <c r="N163" s="240"/>
      <c r="O163" s="240"/>
    </row>
    <row r="164" spans="2:15" ht="15.75" thickBot="1">
      <c r="B164" s="241">
        <f t="shared" si="8"/>
        <v>86</v>
      </c>
      <c r="C164" s="242"/>
      <c r="D164" s="237" t="s">
        <v>331</v>
      </c>
      <c r="E164" s="240" t="s">
        <v>98</v>
      </c>
      <c r="F164" s="240"/>
      <c r="G164" s="601">
        <f>'WS F Misc Exp'!D71+1</f>
        <v>281786.32299999997</v>
      </c>
      <c r="H164" s="253"/>
      <c r="I164" s="294"/>
      <c r="J164" s="294"/>
      <c r="K164" s="240"/>
      <c r="L164" s="253"/>
      <c r="M164" s="240"/>
      <c r="N164" s="240"/>
      <c r="O164" s="240"/>
    </row>
    <row r="165" spans="2:15">
      <c r="B165" s="241">
        <f t="shared" si="8"/>
        <v>87</v>
      </c>
      <c r="C165" s="242"/>
      <c r="D165" s="237" t="s">
        <v>108</v>
      </c>
      <c r="E165" s="240" t="str">
        <f>"(ln "&amp;B157&amp;" - sum ln "&amp;B158&amp;"  to ln "&amp;B164&amp;")"</f>
        <v>(ln 79 - sum ln 80  to ln 86)</v>
      </c>
      <c r="F165" s="240"/>
      <c r="G165" s="253">
        <f>G157-SUM(G158:G164)</f>
        <v>6341177.6167052509</v>
      </c>
      <c r="H165" s="253"/>
      <c r="I165" s="254" t="s">
        <v>132</v>
      </c>
      <c r="J165" s="255">
        <f>L257</f>
        <v>2.4194780770061278E-2</v>
      </c>
      <c r="K165" s="240"/>
      <c r="L165" s="253">
        <f>+J165*G165</f>
        <v>153423.40226020321</v>
      </c>
      <c r="M165" s="240"/>
      <c r="N165" s="240"/>
      <c r="O165" s="240"/>
    </row>
    <row r="166" spans="2:15">
      <c r="B166" s="241" t="s">
        <v>1300</v>
      </c>
      <c r="C166" s="242"/>
      <c r="D166" s="237" t="s">
        <v>1288</v>
      </c>
      <c r="E166" s="240" t="s">
        <v>1301</v>
      </c>
      <c r="F166" s="240"/>
      <c r="G166" s="1204">
        <v>0</v>
      </c>
      <c r="H166" s="253"/>
      <c r="I166" s="254" t="s">
        <v>1271</v>
      </c>
      <c r="J166" s="255">
        <f>$L$246</f>
        <v>1</v>
      </c>
      <c r="K166" s="240"/>
      <c r="L166" s="253">
        <f>+J166*G166</f>
        <v>0</v>
      </c>
      <c r="M166" s="240"/>
      <c r="N166" s="240"/>
      <c r="O166" s="240"/>
    </row>
    <row r="167" spans="2:15">
      <c r="B167" s="241">
        <f>+B165+1</f>
        <v>88</v>
      </c>
      <c r="C167" s="242"/>
      <c r="D167" s="237" t="s">
        <v>197</v>
      </c>
      <c r="E167" s="240" t="str">
        <f>"(ln "&amp;B158&amp;")"</f>
        <v>(ln 80)</v>
      </c>
      <c r="F167" s="240"/>
      <c r="G167" s="253">
        <f>+G158</f>
        <v>351559.43</v>
      </c>
      <c r="H167" s="253"/>
      <c r="I167" s="254" t="s">
        <v>749</v>
      </c>
      <c r="J167" s="255">
        <f>J77</f>
        <v>9.351570482586892E-2</v>
      </c>
      <c r="K167" s="240"/>
      <c r="L167" s="253">
        <f>+J167*G167</f>
        <v>32876.327884630729</v>
      </c>
      <c r="M167" s="240"/>
      <c r="N167" s="240"/>
      <c r="O167" s="240"/>
    </row>
    <row r="168" spans="2:15">
      <c r="B168" s="241">
        <f t="shared" si="8"/>
        <v>89</v>
      </c>
      <c r="C168" s="242"/>
      <c r="D168" s="237" t="s">
        <v>230</v>
      </c>
      <c r="E168" s="240" t="str">
        <f>"Worksheet F ln "&amp;'WS F Misc Exp'!A42&amp;".(E) (Note L)"</f>
        <v>Worksheet F ln 20.(E) (Note L)</v>
      </c>
      <c r="F168" s="240"/>
      <c r="G168" s="253">
        <f>+'WS F Misc Exp'!F42</f>
        <v>5357.06</v>
      </c>
      <c r="H168" s="253"/>
      <c r="I168" s="254" t="s">
        <v>120</v>
      </c>
      <c r="J168" s="255">
        <f>L239</f>
        <v>0.93073636553052175</v>
      </c>
      <c r="K168" s="240"/>
      <c r="L168" s="253">
        <f>J168*G168</f>
        <v>4986.0105543289374</v>
      </c>
      <c r="M168" s="240"/>
      <c r="N168" s="240"/>
      <c r="O168" s="240"/>
    </row>
    <row r="169" spans="2:15">
      <c r="B169" s="241">
        <f t="shared" si="8"/>
        <v>90</v>
      </c>
      <c r="C169" s="242"/>
      <c r="D169" s="237" t="s">
        <v>240</v>
      </c>
      <c r="E169" s="240" t="str">
        <f>"Worksheet F ln "&amp;'WS F Misc Exp'!A62&amp;".(E) (Note L)"</f>
        <v>Worksheet F ln 37.(E) (Note L)</v>
      </c>
      <c r="F169" s="240"/>
      <c r="G169" s="253">
        <f>+'WS F Misc Exp'!F62</f>
        <v>86.45</v>
      </c>
      <c r="H169" s="240"/>
      <c r="I169" s="254" t="s">
        <v>120</v>
      </c>
      <c r="J169" s="255">
        <f>L239</f>
        <v>0.93073636553052175</v>
      </c>
      <c r="K169" s="240"/>
      <c r="L169" s="253">
        <f>+J169*G169</f>
        <v>80.462158800113613</v>
      </c>
      <c r="M169" s="240"/>
      <c r="N169" s="240"/>
      <c r="O169" s="240"/>
    </row>
    <row r="170" spans="2:15">
      <c r="B170" s="241">
        <f t="shared" si="8"/>
        <v>91</v>
      </c>
      <c r="C170" s="242"/>
      <c r="D170" s="237" t="s">
        <v>241</v>
      </c>
      <c r="E170" s="240" t="str">
        <f>"Worksheet F ln "&amp;'WS F Misc Exp'!A71&amp;".(E) (Note L)"</f>
        <v>Worksheet F ln 43.(E) (Note L)</v>
      </c>
      <c r="F170" s="240"/>
      <c r="G170" s="253">
        <f>+'WS F Misc Exp'!F71</f>
        <v>57872.195</v>
      </c>
      <c r="H170" s="311"/>
      <c r="I170" s="254" t="s">
        <v>129</v>
      </c>
      <c r="J170" s="255">
        <v>1</v>
      </c>
      <c r="K170" s="240"/>
      <c r="L170" s="253">
        <f>+J170*G170</f>
        <v>57872.195</v>
      </c>
      <c r="M170" s="240"/>
      <c r="N170" s="240"/>
      <c r="O170" s="240"/>
    </row>
    <row r="171" spans="2:15">
      <c r="B171" s="241">
        <f t="shared" si="8"/>
        <v>92</v>
      </c>
      <c r="C171" s="242"/>
      <c r="D171" s="237" t="s">
        <v>848</v>
      </c>
      <c r="E171" s="240" t="s">
        <v>850</v>
      </c>
      <c r="F171" s="240"/>
      <c r="G171" s="331">
        <f>'WS O - PBOP'!E27</f>
        <v>-4230264</v>
      </c>
      <c r="H171" s="311"/>
      <c r="I171" s="254" t="s">
        <v>132</v>
      </c>
      <c r="J171" s="255">
        <f>L257</f>
        <v>2.4194780770061278E-2</v>
      </c>
      <c r="K171" s="240"/>
      <c r="L171" s="331">
        <f>+J171*G171</f>
        <v>-102350.3100794825</v>
      </c>
      <c r="M171" s="240"/>
      <c r="N171" s="240"/>
      <c r="O171" s="240"/>
    </row>
    <row r="172" spans="2:15">
      <c r="B172" s="241">
        <f t="shared" si="8"/>
        <v>93</v>
      </c>
      <c r="C172" s="242"/>
      <c r="D172" s="237" t="s">
        <v>109</v>
      </c>
      <c r="E172" s="240" t="str">
        <f>"(sum lns "&amp;B165&amp;"  to "&amp;B171&amp;")"</f>
        <v>(sum lns 87  to 92)</v>
      </c>
      <c r="F172" s="240"/>
      <c r="G172" s="253">
        <f>SUM(G165:G171)</f>
        <v>2525788.7517052507</v>
      </c>
      <c r="H172" s="253"/>
      <c r="I172" s="254"/>
      <c r="J172" s="294"/>
      <c r="K172" s="240"/>
      <c r="L172" s="253">
        <f>SUM(L165:L171)</f>
        <v>146888.08777848049</v>
      </c>
      <c r="M172" s="240"/>
      <c r="N172" s="253"/>
      <c r="O172" s="240"/>
    </row>
    <row r="173" spans="2:15" ht="15.75" thickBot="1">
      <c r="B173" s="241"/>
      <c r="C173" s="242"/>
      <c r="D173" s="237"/>
      <c r="E173" s="240"/>
      <c r="F173" s="240"/>
      <c r="G173" s="288"/>
      <c r="H173" s="240"/>
      <c r="I173" s="254"/>
      <c r="J173" s="294"/>
      <c r="K173" s="240"/>
      <c r="L173" s="288"/>
      <c r="M173" s="240"/>
      <c r="N173" s="240"/>
      <c r="O173" s="240"/>
    </row>
    <row r="174" spans="2:15">
      <c r="B174" s="241">
        <f>+B172+1</f>
        <v>94</v>
      </c>
      <c r="C174" s="242"/>
      <c r="D174" s="237" t="s">
        <v>414</v>
      </c>
      <c r="E174" s="240" t="str">
        <f>"(ln "&amp;B155&amp;" + ln "&amp;B172&amp;")"</f>
        <v>(ln 78 + ln 93)</v>
      </c>
      <c r="F174" s="240"/>
      <c r="G174" s="253">
        <f>+G155+G172</f>
        <v>4132853.3717052406</v>
      </c>
      <c r="H174" s="253"/>
      <c r="I174" s="254"/>
      <c r="J174" s="240"/>
      <c r="K174" s="240"/>
      <c r="L174" s="253">
        <f>L155+L172</f>
        <v>1642641.5713699602</v>
      </c>
      <c r="M174" s="240"/>
      <c r="N174" s="240"/>
      <c r="O174" s="240"/>
    </row>
    <row r="175" spans="2:15" ht="15.75" thickBot="1">
      <c r="B175" s="241">
        <f>+B174+1</f>
        <v>95</v>
      </c>
      <c r="C175" s="242"/>
      <c r="D175" s="237" t="s">
        <v>485</v>
      </c>
      <c r="E175" s="237"/>
      <c r="F175" s="240"/>
      <c r="G175" s="601">
        <v>0</v>
      </c>
      <c r="H175" s="253"/>
      <c r="I175" s="254" t="s">
        <v>129</v>
      </c>
      <c r="J175" s="255">
        <v>1</v>
      </c>
      <c r="K175" s="240"/>
      <c r="L175" s="288">
        <f>J175*G175</f>
        <v>0</v>
      </c>
      <c r="M175" s="240"/>
      <c r="N175" s="240"/>
      <c r="O175" s="240"/>
    </row>
    <row r="176" spans="2:15">
      <c r="B176" s="241">
        <f>+B175+1</f>
        <v>96</v>
      </c>
      <c r="C176" s="242"/>
      <c r="D176" s="237" t="s">
        <v>110</v>
      </c>
      <c r="E176" s="240" t="str">
        <f>"(ln "&amp;B174&amp;" + ln "&amp;B175&amp;")"</f>
        <v>(ln 94 + ln 95)</v>
      </c>
      <c r="F176" s="240"/>
      <c r="G176" s="253">
        <f>+G174+G175</f>
        <v>4132853.3717052406</v>
      </c>
      <c r="H176" s="253"/>
      <c r="I176" s="254"/>
      <c r="J176" s="240"/>
      <c r="K176" s="240"/>
      <c r="L176" s="253">
        <f>+L174+L175</f>
        <v>1642641.5713699602</v>
      </c>
      <c r="M176" s="240"/>
      <c r="N176" s="240"/>
      <c r="O176" s="240"/>
    </row>
    <row r="177" spans="2:15">
      <c r="B177" s="241"/>
      <c r="C177" s="242"/>
      <c r="D177" s="237"/>
      <c r="E177" s="240"/>
      <c r="F177" s="240"/>
      <c r="G177" s="253"/>
      <c r="H177" s="240"/>
      <c r="I177" s="240"/>
      <c r="J177" s="240"/>
      <c r="K177" s="240"/>
      <c r="L177" s="253"/>
      <c r="M177" s="240"/>
      <c r="N177" s="240"/>
      <c r="O177" s="240"/>
    </row>
    <row r="178" spans="2:15">
      <c r="B178" s="241">
        <f>+B176+1</f>
        <v>97</v>
      </c>
      <c r="C178" s="242"/>
      <c r="D178" s="237" t="s">
        <v>113</v>
      </c>
      <c r="E178" s="254"/>
      <c r="F178" s="254"/>
      <c r="G178" s="253"/>
      <c r="H178" s="240"/>
      <c r="I178" s="254"/>
      <c r="J178" s="240"/>
      <c r="K178" s="240"/>
      <c r="L178" s="253"/>
      <c r="M178" s="240"/>
      <c r="N178" s="240"/>
      <c r="O178" s="240"/>
    </row>
    <row r="179" spans="2:15">
      <c r="B179" s="241">
        <f t="shared" ref="B179:B183" si="9">+B178+1</f>
        <v>98</v>
      </c>
      <c r="C179" s="242"/>
      <c r="D179" s="237" t="s">
        <v>126</v>
      </c>
      <c r="E179" s="251" t="s">
        <v>424</v>
      </c>
      <c r="F179" s="254"/>
      <c r="G179" s="600">
        <f>25914671+177279</f>
        <v>26091950</v>
      </c>
      <c r="H179" s="240"/>
      <c r="I179" s="254" t="s">
        <v>127</v>
      </c>
      <c r="J179" s="255">
        <v>0</v>
      </c>
      <c r="K179" s="240"/>
      <c r="L179" s="253">
        <f>+G179*J179</f>
        <v>0</v>
      </c>
      <c r="M179" s="240"/>
      <c r="N179" s="240"/>
      <c r="O179" s="240"/>
    </row>
    <row r="180" spans="2:15">
      <c r="B180" s="241">
        <f t="shared" si="9"/>
        <v>99</v>
      </c>
      <c r="C180" s="242"/>
      <c r="D180" s="237" t="s">
        <v>130</v>
      </c>
      <c r="E180" s="251" t="s">
        <v>423</v>
      </c>
      <c r="F180" s="254"/>
      <c r="G180" s="600">
        <v>11614713</v>
      </c>
      <c r="H180" s="240"/>
      <c r="I180" s="254" t="s">
        <v>127</v>
      </c>
      <c r="J180" s="255">
        <v>0</v>
      </c>
      <c r="K180" s="240"/>
      <c r="L180" s="253">
        <f>+G180*J180</f>
        <v>0</v>
      </c>
      <c r="M180" s="240"/>
      <c r="N180" s="240"/>
      <c r="O180" s="240"/>
    </row>
    <row r="181" spans="2:15">
      <c r="B181" s="241">
        <f t="shared" si="9"/>
        <v>100</v>
      </c>
      <c r="C181" s="242"/>
      <c r="D181" s="283" t="str">
        <f>+D150</f>
        <v xml:space="preserve">  Transmission </v>
      </c>
      <c r="E181" s="251" t="s">
        <v>419</v>
      </c>
      <c r="F181" s="284"/>
      <c r="G181" s="600">
        <v>4133883</v>
      </c>
      <c r="H181" s="1205"/>
      <c r="I181" s="285" t="s">
        <v>26</v>
      </c>
      <c r="J181" s="255">
        <f>J82</f>
        <v>0.82947415936095181</v>
      </c>
      <c r="K181" s="286"/>
      <c r="L181" s="287">
        <f>J181*G181</f>
        <v>3428949.1263215295</v>
      </c>
      <c r="M181" s="286"/>
      <c r="N181" s="240"/>
      <c r="O181" s="240"/>
    </row>
    <row r="182" spans="2:15">
      <c r="B182" s="241">
        <f>+B181+1</f>
        <v>101</v>
      </c>
      <c r="C182" s="242"/>
      <c r="D182" s="237" t="s">
        <v>136</v>
      </c>
      <c r="E182" s="284" t="s">
        <v>420</v>
      </c>
      <c r="F182" s="240"/>
      <c r="G182" s="600">
        <v>3379089</v>
      </c>
      <c r="H182" s="253"/>
      <c r="I182" s="254" t="s">
        <v>132</v>
      </c>
      <c r="J182" s="255">
        <f>L257</f>
        <v>2.4194780770061278E-2</v>
      </c>
      <c r="K182" s="240"/>
      <c r="L182" s="253">
        <f>+J182*G182</f>
        <v>81756.317557525588</v>
      </c>
      <c r="M182" s="240"/>
      <c r="N182" s="240"/>
      <c r="O182" s="240"/>
    </row>
    <row r="183" spans="2:15">
      <c r="B183" s="241">
        <f t="shared" si="9"/>
        <v>102</v>
      </c>
      <c r="C183" s="242"/>
      <c r="D183" s="237" t="s">
        <v>137</v>
      </c>
      <c r="E183" s="284" t="s">
        <v>421</v>
      </c>
      <c r="F183" s="240"/>
      <c r="G183" s="600">
        <v>0</v>
      </c>
      <c r="H183" s="253"/>
      <c r="I183" s="254" t="s">
        <v>132</v>
      </c>
      <c r="J183" s="255">
        <f>L257</f>
        <v>2.4194780770061278E-2</v>
      </c>
      <c r="K183" s="240"/>
      <c r="L183" s="253">
        <f>+J183*G183</f>
        <v>0</v>
      </c>
      <c r="M183" s="240"/>
      <c r="N183" s="240"/>
      <c r="O183" s="240"/>
    </row>
    <row r="184" spans="2:15" ht="15.75" thickBot="1">
      <c r="B184" s="241" t="s">
        <v>1302</v>
      </c>
      <c r="C184" s="242"/>
      <c r="D184" s="237" t="s">
        <v>1288</v>
      </c>
      <c r="E184" s="251" t="s">
        <v>1303</v>
      </c>
      <c r="F184" s="240"/>
      <c r="G184" s="601">
        <v>0</v>
      </c>
      <c r="H184" s="240"/>
      <c r="I184" s="254" t="s">
        <v>1271</v>
      </c>
      <c r="J184" s="255">
        <f>$L$246</f>
        <v>1</v>
      </c>
      <c r="K184" s="240"/>
      <c r="L184" s="288">
        <f>+G184*J184</f>
        <v>0</v>
      </c>
      <c r="M184" s="240"/>
      <c r="N184" s="240"/>
      <c r="O184" s="240"/>
    </row>
    <row r="185" spans="2:15">
      <c r="B185" s="241">
        <f>+B183+1</f>
        <v>103</v>
      </c>
      <c r="C185" s="242"/>
      <c r="D185" s="237" t="s">
        <v>301</v>
      </c>
      <c r="E185" s="1236" t="str">
        <f>"(Ln "&amp;B179&amp;"+"&amp;B180&amp;"+
"&amp;B181&amp;"+"&amp;B182&amp;"+"&amp;B183&amp;")"</f>
        <v>(Ln 98+99+
100+101+102)</v>
      </c>
      <c r="F185" s="240"/>
      <c r="G185" s="253">
        <f>+G179+G180+G181+G182+G183+G184</f>
        <v>45219635</v>
      </c>
      <c r="H185" s="240"/>
      <c r="I185" s="254"/>
      <c r="J185" s="240"/>
      <c r="K185" s="240"/>
      <c r="L185" s="253">
        <f>+L179+L180+L181+L182+L183+L184</f>
        <v>3510705.4438790549</v>
      </c>
      <c r="M185" s="240"/>
      <c r="N185" s="240"/>
      <c r="O185" s="240"/>
    </row>
    <row r="186" spans="2:15">
      <c r="B186" s="241"/>
      <c r="C186" s="242"/>
      <c r="D186" s="237"/>
      <c r="E186" s="1237"/>
      <c r="F186" s="240"/>
      <c r="G186" s="253"/>
      <c r="H186" s="240"/>
      <c r="I186" s="254"/>
      <c r="J186" s="240"/>
      <c r="K186" s="240"/>
      <c r="L186" s="253"/>
      <c r="M186" s="240"/>
      <c r="N186" s="240"/>
      <c r="O186" s="240"/>
    </row>
    <row r="187" spans="2:15">
      <c r="B187" s="241">
        <f>+B185+1</f>
        <v>104</v>
      </c>
      <c r="C187" s="242"/>
      <c r="D187" s="237" t="s">
        <v>32</v>
      </c>
      <c r="E187" s="233" t="s">
        <v>422</v>
      </c>
      <c r="G187" s="253"/>
      <c r="H187" s="240"/>
      <c r="I187" s="254"/>
      <c r="J187" s="240"/>
      <c r="K187" s="240"/>
      <c r="L187" s="253"/>
      <c r="M187" s="240"/>
      <c r="N187" s="305"/>
      <c r="O187" s="240"/>
    </row>
    <row r="188" spans="2:15">
      <c r="B188" s="241">
        <f t="shared" ref="B188:B193" si="10">+B187+1</f>
        <v>105</v>
      </c>
      <c r="C188" s="242"/>
      <c r="D188" s="237" t="s">
        <v>138</v>
      </c>
      <c r="G188" s="253"/>
      <c r="H188" s="240"/>
      <c r="I188" s="254"/>
      <c r="K188" s="240"/>
      <c r="L188" s="253"/>
      <c r="M188" s="240"/>
      <c r="N188" s="240"/>
      <c r="O188" s="240"/>
    </row>
    <row r="189" spans="2:15">
      <c r="B189" s="241">
        <f t="shared" si="10"/>
        <v>106</v>
      </c>
      <c r="C189" s="242"/>
      <c r="D189" s="237" t="s">
        <v>139</v>
      </c>
      <c r="E189" s="240" t="str">
        <f>"Worksheet H ln "&amp;'WS H Other Taxes'!A41&amp;"."&amp;'WS H Other Taxes'!I10&amp;""</f>
        <v>Worksheet H ln 22.(D)</v>
      </c>
      <c r="F189" s="240"/>
      <c r="G189" s="253">
        <f>+'WS H Other Taxes'!I41</f>
        <v>929442.32000000007</v>
      </c>
      <c r="H189" s="253"/>
      <c r="I189" s="254" t="s">
        <v>132</v>
      </c>
      <c r="J189" s="255">
        <f>L257</f>
        <v>2.4194780770061278E-2</v>
      </c>
      <c r="K189" s="240"/>
      <c r="L189" s="253">
        <f>+J189*G189</f>
        <v>22487.653170817142</v>
      </c>
      <c r="M189" s="300"/>
      <c r="N189" s="240"/>
      <c r="O189" s="240"/>
    </row>
    <row r="190" spans="2:15">
      <c r="B190" s="241">
        <f t="shared" si="10"/>
        <v>107</v>
      </c>
      <c r="C190" s="242"/>
      <c r="D190" s="237" t="s">
        <v>140</v>
      </c>
      <c r="E190" s="240" t="s">
        <v>114</v>
      </c>
      <c r="F190" s="240"/>
      <c r="G190" s="253"/>
      <c r="H190" s="253"/>
      <c r="I190" s="254"/>
      <c r="K190" s="240"/>
      <c r="L190" s="253"/>
      <c r="M190" s="240"/>
      <c r="N190" s="240"/>
      <c r="O190" s="240"/>
    </row>
    <row r="191" spans="2:15">
      <c r="B191" s="241">
        <f t="shared" si="10"/>
        <v>108</v>
      </c>
      <c r="C191" s="242"/>
      <c r="D191" s="237" t="s">
        <v>141</v>
      </c>
      <c r="E191" s="240" t="str">
        <f>"Worksheet H ln "&amp;'WS H Other Taxes'!A41&amp;"."&amp;'WS H Other Taxes'!G10&amp;""</f>
        <v>Worksheet H ln 22.(C)</v>
      </c>
      <c r="F191" s="240"/>
      <c r="G191" s="253">
        <f>+'WS H Other Taxes'!G41</f>
        <v>6474989.2199999988</v>
      </c>
      <c r="H191" s="253"/>
      <c r="I191" s="254" t="s">
        <v>129</v>
      </c>
      <c r="J191" s="255"/>
      <c r="K191" s="240"/>
      <c r="L191" s="305">
        <f>'WS H-1-Detail of Tax Amts'!I25</f>
        <v>1750026.4801505413</v>
      </c>
      <c r="M191" s="312"/>
      <c r="N191" s="305"/>
      <c r="O191" s="240"/>
    </row>
    <row r="192" spans="2:15">
      <c r="B192" s="241">
        <f t="shared" si="10"/>
        <v>109</v>
      </c>
      <c r="C192" s="242"/>
      <c r="D192" s="237" t="s">
        <v>200</v>
      </c>
      <c r="E192" s="240" t="str">
        <f>"Worksheet H ln "&amp;'WS H Other Taxes'!A41&amp;"."&amp;'WS H Other Taxes'!M10&amp;""</f>
        <v>Worksheet H ln 22.(F)</v>
      </c>
      <c r="F192" s="240"/>
      <c r="G192" s="253">
        <f>+'WS H Other Taxes'!M41</f>
        <v>9102601</v>
      </c>
      <c r="H192" s="67"/>
      <c r="I192" s="254" t="s">
        <v>127</v>
      </c>
      <c r="J192" s="255">
        <v>0</v>
      </c>
      <c r="K192" s="240"/>
      <c r="L192" s="253">
        <f>+J192*G192</f>
        <v>0</v>
      </c>
      <c r="M192" s="240"/>
      <c r="N192" s="240"/>
      <c r="O192" s="240"/>
    </row>
    <row r="193" spans="2:15" ht="15.75" thickBot="1">
      <c r="B193" s="241">
        <f t="shared" si="10"/>
        <v>110</v>
      </c>
      <c r="C193" s="242"/>
      <c r="D193" s="237" t="s">
        <v>142</v>
      </c>
      <c r="E193" s="240" t="str">
        <f>"Worksheet H ln "&amp;'WS H Other Taxes'!A41&amp;"."&amp;'WS H Other Taxes'!K10&amp;""</f>
        <v>Worksheet H ln 22.(E)</v>
      </c>
      <c r="F193" s="240"/>
      <c r="G193" s="288">
        <f>+'WS H Other Taxes'!K41</f>
        <v>0</v>
      </c>
      <c r="H193" s="67"/>
      <c r="I193" s="254" t="s">
        <v>749</v>
      </c>
      <c r="J193" s="255">
        <f>J77</f>
        <v>9.351570482586892E-2</v>
      </c>
      <c r="K193" s="240"/>
      <c r="L193" s="288">
        <f>+J193*G193</f>
        <v>0</v>
      </c>
      <c r="M193" s="240"/>
      <c r="N193" s="240"/>
      <c r="O193" s="240"/>
    </row>
    <row r="194" spans="2:15">
      <c r="B194" s="241">
        <f>+B193+1</f>
        <v>111</v>
      </c>
      <c r="C194" s="242"/>
      <c r="D194" s="237" t="s">
        <v>33</v>
      </c>
      <c r="E194" s="251" t="str">
        <f>"(sum lns "&amp;B189&amp;" to "&amp;B193&amp;")"</f>
        <v>(sum lns 106 to 110)</v>
      </c>
      <c r="F194" s="240"/>
      <c r="G194" s="253">
        <f>SUM(G189:G193)</f>
        <v>16507032.539999999</v>
      </c>
      <c r="H194" s="240"/>
      <c r="I194" s="254"/>
      <c r="J194" s="313"/>
      <c r="K194" s="240"/>
      <c r="L194" s="253">
        <f>SUM(L189:L193)</f>
        <v>1772514.1333213584</v>
      </c>
      <c r="M194" s="240"/>
      <c r="N194" s="240"/>
      <c r="O194" s="240"/>
    </row>
    <row r="195" spans="2:15">
      <c r="B195" s="241"/>
      <c r="C195" s="242"/>
      <c r="D195" s="237"/>
      <c r="E195" s="240"/>
      <c r="F195" s="240"/>
      <c r="G195" s="240"/>
      <c r="H195" s="240"/>
      <c r="I195" s="254"/>
      <c r="J195" s="313"/>
      <c r="K195" s="240"/>
      <c r="L195" s="240"/>
      <c r="M195" s="299"/>
      <c r="N195" s="240"/>
      <c r="O195" s="240"/>
    </row>
    <row r="196" spans="2:15">
      <c r="B196" s="241">
        <f>+B194+1</f>
        <v>112</v>
      </c>
      <c r="C196" s="242"/>
      <c r="D196" s="237" t="s">
        <v>337</v>
      </c>
      <c r="E196" s="240" t="s">
        <v>425</v>
      </c>
      <c r="F196" s="314"/>
      <c r="G196" s="240"/>
      <c r="H196" s="67"/>
      <c r="I196" s="306"/>
      <c r="K196" s="240"/>
      <c r="L196" s="315"/>
      <c r="M196" s="240"/>
      <c r="N196" s="240"/>
      <c r="O196" s="240"/>
    </row>
    <row r="197" spans="2:15">
      <c r="B197" s="241">
        <f t="shared" ref="B197:B204" si="11">+B196+1</f>
        <v>113</v>
      </c>
      <c r="C197" s="242"/>
      <c r="D197" s="300" t="s">
        <v>338</v>
      </c>
      <c r="E197" s="240"/>
      <c r="F197" s="316"/>
      <c r="G197" s="317">
        <f>IF(F355&gt;0,1-(((1-F356)*(1-F355))/(1-F356*F355*F357)),0)</f>
        <v>0.25939553999999998</v>
      </c>
      <c r="H197" s="318"/>
      <c r="I197" s="318"/>
      <c r="K197" s="319"/>
      <c r="L197" s="315"/>
      <c r="M197" s="240"/>
      <c r="N197" s="240"/>
      <c r="O197" s="240"/>
    </row>
    <row r="198" spans="2:15">
      <c r="B198" s="241">
        <f t="shared" si="11"/>
        <v>114</v>
      </c>
      <c r="C198" s="242"/>
      <c r="D198" s="233" t="s">
        <v>339</v>
      </c>
      <c r="E198" s="240"/>
      <c r="F198" s="316"/>
      <c r="G198" s="317">
        <f>IF(L271&gt;0,($G197/(1-$G197))*(1-$L271/$L274),0)</f>
        <v>0.20783028408811399</v>
      </c>
      <c r="H198" s="318"/>
      <c r="I198" s="318"/>
      <c r="K198" s="319"/>
      <c r="L198" s="315"/>
      <c r="M198" s="240"/>
      <c r="N198" s="240"/>
      <c r="O198" s="240"/>
    </row>
    <row r="199" spans="2:15">
      <c r="B199" s="241">
        <f t="shared" si="11"/>
        <v>115</v>
      </c>
      <c r="C199" s="242"/>
      <c r="D199" s="237" t="str">
        <f>"       where WCLTD=(ln "&amp;B271&amp;") and WACC = (ln "&amp;B274&amp;")"</f>
        <v xml:space="preserve">       where WCLTD=(ln 154) and WACC = (ln 157)</v>
      </c>
      <c r="E199" s="240"/>
      <c r="F199" s="314"/>
      <c r="G199" s="240"/>
      <c r="H199" s="318"/>
      <c r="I199" s="318"/>
      <c r="J199" s="320"/>
      <c r="K199" s="319"/>
      <c r="L199" s="321"/>
      <c r="M199" s="240"/>
      <c r="N199" s="240"/>
      <c r="O199" s="240"/>
    </row>
    <row r="200" spans="2:15">
      <c r="B200" s="241">
        <f t="shared" si="11"/>
        <v>116</v>
      </c>
      <c r="C200" s="242"/>
      <c r="D200" s="237" t="s">
        <v>428</v>
      </c>
      <c r="E200" s="322"/>
      <c r="F200" s="316"/>
      <c r="G200" s="240"/>
      <c r="H200" s="67"/>
      <c r="I200" s="306"/>
      <c r="J200" s="320"/>
      <c r="K200" s="319"/>
      <c r="L200" s="315"/>
      <c r="M200" s="240"/>
      <c r="N200" s="240"/>
      <c r="O200" s="240"/>
    </row>
    <row r="201" spans="2:15">
      <c r="B201" s="241">
        <f t="shared" si="11"/>
        <v>117</v>
      </c>
      <c r="C201" s="242"/>
      <c r="D201" s="300" t="str">
        <f>"      GRCF=1 / (1 - T)  = (from ln "&amp;B197&amp;")"</f>
        <v xml:space="preserve">      GRCF=1 / (1 - T)  = (from ln 113)</v>
      </c>
      <c r="E201" s="314"/>
      <c r="F201" s="314"/>
      <c r="G201" s="323">
        <f>IF(G197&gt;0,1/(1-G197),0)</f>
        <v>1.3502484173535763</v>
      </c>
      <c r="H201" s="67"/>
      <c r="I201" s="267"/>
      <c r="J201" s="324"/>
      <c r="K201" s="325"/>
      <c r="L201" s="326"/>
      <c r="M201" s="240"/>
      <c r="N201" s="240"/>
      <c r="O201" s="240"/>
    </row>
    <row r="202" spans="2:15">
      <c r="B202" s="241">
        <f t="shared" si="11"/>
        <v>118</v>
      </c>
      <c r="C202" s="242"/>
      <c r="D202" s="237" t="s">
        <v>340</v>
      </c>
      <c r="E202" s="294" t="s">
        <v>503</v>
      </c>
      <c r="F202" s="314"/>
      <c r="G202" s="600">
        <v>0</v>
      </c>
      <c r="H202" s="67"/>
      <c r="I202" s="267"/>
      <c r="J202" s="327"/>
      <c r="K202" s="325"/>
      <c r="L202" s="315"/>
      <c r="M202" s="254"/>
      <c r="N202" s="240"/>
      <c r="O202" s="240"/>
    </row>
    <row r="203" spans="2:15">
      <c r="B203" s="241">
        <f t="shared" si="11"/>
        <v>119</v>
      </c>
      <c r="C203" s="242"/>
      <c r="D203" s="233" t="s">
        <v>531</v>
      </c>
      <c r="E203" s="240" t="s">
        <v>544</v>
      </c>
      <c r="F203" s="328"/>
      <c r="G203" s="600">
        <v>-1592302</v>
      </c>
      <c r="H203" s="186"/>
      <c r="I203" s="254" t="s">
        <v>129</v>
      </c>
      <c r="J203" s="327"/>
      <c r="K203" s="325"/>
      <c r="L203" s="600">
        <v>-127409</v>
      </c>
      <c r="M203" s="254"/>
      <c r="N203" s="240"/>
      <c r="O203" s="240"/>
    </row>
    <row r="204" spans="2:15">
      <c r="B204" s="241">
        <f t="shared" si="11"/>
        <v>120</v>
      </c>
      <c r="C204" s="242"/>
      <c r="D204" s="233" t="s">
        <v>739</v>
      </c>
      <c r="E204" s="240" t="s">
        <v>544</v>
      </c>
      <c r="F204" s="328"/>
      <c r="G204" s="600">
        <v>173231.72476061346</v>
      </c>
      <c r="H204" s="186"/>
      <c r="I204" s="254" t="s">
        <v>129</v>
      </c>
      <c r="J204" s="327"/>
      <c r="K204" s="325"/>
      <c r="L204" s="600">
        <v>24417.793572873594</v>
      </c>
      <c r="M204" s="254"/>
      <c r="N204" s="240"/>
      <c r="O204" s="240"/>
    </row>
    <row r="205" spans="2:15">
      <c r="B205" s="241"/>
      <c r="C205" s="242"/>
      <c r="D205" s="237"/>
      <c r="E205" s="240"/>
      <c r="F205" s="316"/>
      <c r="G205" s="253"/>
      <c r="H205" s="67"/>
      <c r="I205" s="267"/>
      <c r="J205" s="329"/>
      <c r="K205" s="325"/>
      <c r="L205" s="315"/>
      <c r="M205" s="240"/>
      <c r="N205" s="240"/>
      <c r="O205" s="240"/>
    </row>
    <row r="206" spans="2:15">
      <c r="B206" s="241">
        <f>+B204+1</f>
        <v>121</v>
      </c>
      <c r="C206" s="242"/>
      <c r="D206" s="300" t="s">
        <v>341</v>
      </c>
      <c r="E206" s="328" t="str">
        <f>"(ln "&amp;B198&amp;" * ln "&amp;B213&amp;")"</f>
        <v>(ln 114 * ln 126)</v>
      </c>
      <c r="F206" s="330"/>
      <c r="G206" s="253">
        <f>+G198*G213</f>
        <v>13559326.199087419</v>
      </c>
      <c r="H206" s="67"/>
      <c r="I206" s="267"/>
      <c r="J206" s="329"/>
      <c r="K206" s="253"/>
      <c r="L206" s="253">
        <f>+L213*G198</f>
        <v>1757634.7124243439</v>
      </c>
      <c r="M206" s="240"/>
      <c r="N206" s="240"/>
      <c r="O206" s="240"/>
    </row>
    <row r="207" spans="2:15">
      <c r="B207" s="241">
        <f>+B206+1</f>
        <v>122</v>
      </c>
      <c r="C207" s="242"/>
      <c r="D207" s="233" t="s">
        <v>342</v>
      </c>
      <c r="E207" s="328" t="str">
        <f>"(ln "&amp;B201&amp;" * ln "&amp;B202&amp;")"</f>
        <v>(ln 117 * ln 118)</v>
      </c>
      <c r="F207" s="328"/>
      <c r="G207" s="253">
        <f>G201*G202</f>
        <v>0</v>
      </c>
      <c r="H207" s="67"/>
      <c r="I207" s="254" t="s">
        <v>749</v>
      </c>
      <c r="J207" s="255">
        <f>J77</f>
        <v>9.351570482586892E-2</v>
      </c>
      <c r="K207" s="253"/>
      <c r="L207" s="253">
        <f>+G207*J207</f>
        <v>0</v>
      </c>
      <c r="M207" s="240"/>
      <c r="N207" s="240"/>
      <c r="O207" s="240"/>
    </row>
    <row r="208" spans="2:15">
      <c r="B208" s="241">
        <f>B207+1</f>
        <v>123</v>
      </c>
      <c r="C208" s="242"/>
      <c r="D208" s="233" t="s">
        <v>531</v>
      </c>
      <c r="E208" s="328" t="str">
        <f>"(ln "&amp;B201&amp;" * ln "&amp;B203&amp;")"</f>
        <v>(ln 117 * ln 119)</v>
      </c>
      <c r="F208" s="328"/>
      <c r="G208" s="253">
        <f>G203*G201</f>
        <v>-2150003.2554489342</v>
      </c>
      <c r="H208" s="67"/>
      <c r="I208" s="269"/>
      <c r="J208" s="255"/>
      <c r="K208" s="253"/>
      <c r="L208" s="253">
        <f>L203*G201</f>
        <v>-172033.80060660178</v>
      </c>
      <c r="M208" s="240"/>
      <c r="N208" s="240"/>
      <c r="O208" s="240"/>
    </row>
    <row r="209" spans="2:15">
      <c r="B209" s="241">
        <f>B208+1</f>
        <v>124</v>
      </c>
      <c r="C209" s="242"/>
      <c r="D209" s="233" t="s">
        <v>739</v>
      </c>
      <c r="E209" s="328" t="str">
        <f>"(ln "&amp;B201&amp;" * ln "&amp;B204&amp;")"</f>
        <v>(ln 117 * ln 120)</v>
      </c>
      <c r="F209" s="328"/>
      <c r="G209" s="331">
        <f>G204*G201</f>
        <v>233905.86219344864</v>
      </c>
      <c r="H209" s="67"/>
      <c r="I209" s="269"/>
      <c r="J209" s="255"/>
      <c r="K209" s="253"/>
      <c r="L209" s="331">
        <f>L204*G201</f>
        <v>32970.087127038896</v>
      </c>
      <c r="M209" s="240"/>
      <c r="N209" s="240"/>
      <c r="O209" s="240"/>
    </row>
    <row r="210" spans="2:15">
      <c r="B210" s="241"/>
      <c r="C210" s="242"/>
      <c r="E210" s="328"/>
      <c r="F210" s="328"/>
      <c r="G210" s="253"/>
      <c r="H210" s="67"/>
      <c r="I210" s="269"/>
      <c r="J210" s="255"/>
      <c r="K210" s="253"/>
      <c r="L210" s="253"/>
      <c r="M210" s="240"/>
      <c r="N210" s="240"/>
      <c r="O210" s="240"/>
    </row>
    <row r="211" spans="2:15">
      <c r="B211" s="241">
        <f>+B209+1</f>
        <v>125</v>
      </c>
      <c r="C211" s="242"/>
      <c r="D211" s="300" t="s">
        <v>35</v>
      </c>
      <c r="E211" s="240" t="str">
        <f>"(sum lns "&amp;B206&amp;" to "&amp;B209&amp;")"</f>
        <v>(sum lns 121 to 124)</v>
      </c>
      <c r="F211" s="328"/>
      <c r="G211" s="269">
        <f>SUM(G206:G209)</f>
        <v>11643228.805831933</v>
      </c>
      <c r="H211" s="67"/>
      <c r="I211" s="267" t="s">
        <v>114</v>
      </c>
      <c r="J211" s="332"/>
      <c r="K211" s="253"/>
      <c r="L211" s="269">
        <f>SUM(L206:L209)</f>
        <v>1618570.998944781</v>
      </c>
      <c r="M211" s="240"/>
      <c r="N211" s="240"/>
      <c r="O211" s="240"/>
    </row>
    <row r="212" spans="2:15">
      <c r="B212" s="241"/>
      <c r="C212" s="242"/>
      <c r="D212" s="237"/>
      <c r="E212" s="240"/>
      <c r="F212" s="240"/>
      <c r="G212" s="240"/>
      <c r="H212" s="240"/>
      <c r="I212" s="254"/>
      <c r="J212" s="313"/>
      <c r="K212" s="240"/>
      <c r="L212" s="240"/>
      <c r="M212" s="240"/>
      <c r="N212" s="240"/>
      <c r="O212" s="240"/>
    </row>
    <row r="213" spans="2:15">
      <c r="B213" s="241">
        <f>+B211+1</f>
        <v>126</v>
      </c>
      <c r="C213" s="242"/>
      <c r="D213" s="300" t="s">
        <v>199</v>
      </c>
      <c r="E213" s="300" t="str">
        <f>"(ln "&amp;B131&amp;" * ln "&amp;B274&amp;")"</f>
        <v>(ln 68 * ln 157)</v>
      </c>
      <c r="F213" s="296"/>
      <c r="G213" s="253">
        <f>+$L274*G131</f>
        <v>65242302.191814639</v>
      </c>
      <c r="H213" s="240"/>
      <c r="I213" s="267"/>
      <c r="J213" s="253"/>
      <c r="K213" s="253"/>
      <c r="L213" s="253">
        <f>+L274*L131</f>
        <v>8457067.3621326424</v>
      </c>
      <c r="M213" s="240"/>
      <c r="N213" s="315"/>
      <c r="O213" s="315"/>
    </row>
    <row r="214" spans="2:15">
      <c r="B214" s="241"/>
      <c r="C214" s="242"/>
      <c r="D214" s="300"/>
      <c r="G214" s="253"/>
      <c r="H214" s="253"/>
      <c r="I214" s="267"/>
      <c r="J214" s="267"/>
      <c r="K214" s="253"/>
      <c r="L214" s="253"/>
      <c r="M214" s="240"/>
    </row>
    <row r="215" spans="2:15">
      <c r="B215" s="241">
        <f>+B213+1</f>
        <v>127</v>
      </c>
      <c r="C215" s="242"/>
      <c r="D215" s="333" t="s">
        <v>99</v>
      </c>
      <c r="F215" s="284"/>
      <c r="G215" s="253">
        <f>-'WS D IPP Credits'!C13</f>
        <v>0</v>
      </c>
      <c r="H215" s="253"/>
      <c r="I215" s="303" t="s">
        <v>129</v>
      </c>
      <c r="J215" s="255">
        <v>1</v>
      </c>
      <c r="K215" s="287"/>
      <c r="L215" s="253">
        <f>+J215*G215</f>
        <v>0</v>
      </c>
      <c r="M215" s="286"/>
    </row>
    <row r="216" spans="2:15">
      <c r="B216" s="241"/>
      <c r="C216" s="242"/>
      <c r="D216" s="333"/>
      <c r="F216" s="284"/>
      <c r="G216" s="253"/>
      <c r="H216" s="253"/>
      <c r="I216" s="303"/>
      <c r="J216" s="255"/>
      <c r="K216" s="287"/>
      <c r="L216" s="253"/>
      <c r="M216" s="286"/>
    </row>
    <row r="217" spans="2:15">
      <c r="B217" s="241">
        <f>+B215+1</f>
        <v>128</v>
      </c>
      <c r="C217" s="242"/>
      <c r="D217" s="333" t="str">
        <f>"(Gains) / Losses on Sales of Plant Held for Future Use (Worksheet N, ln "&amp;'WS N - Sale of Plant Held'!A33&amp;", Cols. ("&amp;'WS N - Sale of Plant Held'!O12&amp;" &amp; "&amp;'WS N - Sale of Plant Held'!S12&amp;")"</f>
        <v>(Gains) / Losses on Sales of Plant Held for Future Use (Worksheet N, ln 4, Cols. ((F) &amp; (H))</v>
      </c>
      <c r="F217" s="284"/>
      <c r="G217" s="253">
        <f>+'WS N - Sale of Plant Held'!O33</f>
        <v>0</v>
      </c>
      <c r="H217" s="253"/>
      <c r="I217" s="303"/>
      <c r="J217" s="255"/>
      <c r="K217" s="287"/>
      <c r="L217" s="253">
        <f>'WS N - Sale of Plant Held'!S33</f>
        <v>0</v>
      </c>
      <c r="M217" s="286"/>
    </row>
    <row r="218" spans="2:15">
      <c r="B218" s="241"/>
      <c r="C218" s="242"/>
      <c r="D218" s="333"/>
      <c r="F218" s="284"/>
      <c r="G218" s="253"/>
      <c r="H218" s="253"/>
      <c r="I218" s="303"/>
      <c r="J218" s="255"/>
      <c r="K218" s="287"/>
      <c r="L218" s="253"/>
      <c r="M218" s="286"/>
    </row>
    <row r="219" spans="2:15">
      <c r="B219" s="241">
        <f>+B217+1</f>
        <v>129</v>
      </c>
      <c r="C219" s="242"/>
      <c r="D219" s="333" t="str">
        <f>" Tax Impact on Net Loss / (Gain) on Sales of Plant Held for Future Use (ln "&amp;B217&amp;" * ln"&amp;B198&amp;")"</f>
        <v xml:space="preserve"> Tax Impact on Net Loss / (Gain) on Sales of Plant Held for Future Use (ln 128 * ln114)</v>
      </c>
      <c r="F219" s="284"/>
      <c r="G219" s="253">
        <f>-+G198*G217</f>
        <v>0</v>
      </c>
      <c r="H219" s="253"/>
      <c r="I219" s="303"/>
      <c r="J219" s="255"/>
      <c r="K219" s="287"/>
      <c r="L219" s="253">
        <f>L217*-G198</f>
        <v>0</v>
      </c>
      <c r="M219" s="286"/>
    </row>
    <row r="220" spans="2:15" ht="15.75" thickBot="1">
      <c r="B220" s="241"/>
      <c r="C220" s="242"/>
      <c r="D220" s="237"/>
      <c r="G220" s="288"/>
      <c r="H220" s="334"/>
      <c r="I220" s="267"/>
      <c r="J220" s="267"/>
      <c r="K220" s="253"/>
      <c r="L220" s="288"/>
      <c r="M220" s="240"/>
    </row>
    <row r="221" spans="2:15" ht="15.75" thickBot="1">
      <c r="B221" s="241">
        <f>+B219+1</f>
        <v>130</v>
      </c>
      <c r="C221" s="242"/>
      <c r="D221" s="233" t="s">
        <v>249</v>
      </c>
      <c r="G221" s="335">
        <f>+G215+G213+G211+G194+G185+G176+G217+G219</f>
        <v>142745051.9093518</v>
      </c>
      <c r="L221" s="335">
        <f>+L215+L213+L211+L194+L185+L176+L217+L219</f>
        <v>17001499.509647798</v>
      </c>
      <c r="M221" s="240"/>
    </row>
    <row r="222" spans="2:15" ht="15.75" thickTop="1">
      <c r="B222" s="241"/>
      <c r="C222" s="242"/>
      <c r="D222" s="237" t="str">
        <f>"    (sum lns "&amp;B176&amp;", "&amp;B185&amp;", "&amp;B194&amp;", "&amp;B211&amp;", "&amp;B213&amp;", "&amp;B215&amp;", "&amp;B217&amp;", "&amp;B219&amp;")"</f>
        <v xml:space="preserve">    (sum lns 96, 103, 111, 125, 126, 127, 128, 129)</v>
      </c>
      <c r="F222" s="249"/>
      <c r="M222" s="240"/>
    </row>
    <row r="223" spans="2:15">
      <c r="B223" s="241"/>
      <c r="C223" s="242"/>
      <c r="F223" s="249"/>
      <c r="M223" s="240"/>
    </row>
    <row r="224" spans="2:15">
      <c r="B224" s="241"/>
      <c r="C224" s="242"/>
      <c r="D224" s="237"/>
      <c r="F224" s="306" t="str">
        <f>F134</f>
        <v xml:space="preserve">AEP East Companies </v>
      </c>
      <c r="M224" s="305"/>
    </row>
    <row r="225" spans="2:16">
      <c r="B225" s="241"/>
      <c r="C225" s="242"/>
      <c r="D225" s="237"/>
      <c r="F225" s="306" t="str">
        <f>F135</f>
        <v>Transmission Cost of Service Formula Rate</v>
      </c>
      <c r="M225" s="305"/>
    </row>
    <row r="226" spans="2:16">
      <c r="B226" s="233"/>
      <c r="C226" s="242"/>
      <c r="F226" s="306" t="str">
        <f>F136</f>
        <v>Utilizing  Actual/Projected FERC Form 1 Data</v>
      </c>
      <c r="M226" s="272"/>
    </row>
    <row r="227" spans="2:16">
      <c r="B227" s="241"/>
      <c r="C227" s="242"/>
      <c r="E227" s="306"/>
      <c r="F227" s="306"/>
      <c r="G227" s="306"/>
      <c r="H227" s="306"/>
      <c r="I227" s="306"/>
      <c r="J227" s="306"/>
      <c r="K227" s="306"/>
      <c r="M227" s="240"/>
    </row>
    <row r="228" spans="2:16">
      <c r="B228" s="241"/>
      <c r="C228" s="242"/>
      <c r="E228" s="237"/>
      <c r="F228" s="306" t="str">
        <f>F138</f>
        <v>WHEELING POWER COMPANY</v>
      </c>
      <c r="G228" s="237"/>
      <c r="H228" s="237"/>
      <c r="I228" s="237"/>
      <c r="J228" s="237"/>
      <c r="K228" s="237"/>
      <c r="L228" s="237"/>
      <c r="M228" s="237"/>
    </row>
    <row r="229" spans="2:16">
      <c r="B229" s="241"/>
      <c r="C229" s="242"/>
      <c r="E229" s="237"/>
      <c r="F229" s="306"/>
      <c r="G229" s="237"/>
      <c r="H229" s="237"/>
      <c r="I229" s="237"/>
      <c r="J229" s="237"/>
      <c r="K229" s="237"/>
      <c r="L229" s="237"/>
      <c r="M229" s="237"/>
    </row>
    <row r="230" spans="2:16" ht="15.75">
      <c r="B230" s="241"/>
      <c r="C230" s="242"/>
      <c r="F230" s="307" t="s">
        <v>40</v>
      </c>
      <c r="H230" s="237"/>
      <c r="I230" s="237"/>
      <c r="J230" s="237"/>
      <c r="K230" s="237"/>
      <c r="L230" s="237"/>
      <c r="M230" s="240"/>
    </row>
    <row r="231" spans="2:16" ht="15.75">
      <c r="B231" s="241"/>
      <c r="C231" s="242"/>
      <c r="D231" s="336"/>
      <c r="E231" s="237"/>
      <c r="F231" s="237"/>
      <c r="G231" s="237"/>
      <c r="H231" s="237"/>
      <c r="I231" s="237"/>
      <c r="J231" s="237"/>
      <c r="K231" s="237"/>
      <c r="L231" s="237"/>
      <c r="M231" s="240"/>
    </row>
    <row r="232" spans="2:16" ht="15.75">
      <c r="B232" s="241" t="s">
        <v>116</v>
      </c>
      <c r="C232" s="242"/>
      <c r="D232" s="336"/>
      <c r="E232" s="237"/>
      <c r="F232" s="237"/>
      <c r="G232" s="237"/>
      <c r="H232" s="237"/>
      <c r="I232" s="237"/>
      <c r="J232" s="237"/>
      <c r="K232" s="237"/>
      <c r="L232" s="237"/>
      <c r="M232" s="240"/>
    </row>
    <row r="233" spans="2:16" ht="15.75" thickBot="1">
      <c r="B233" s="247" t="s">
        <v>117</v>
      </c>
      <c r="C233" s="242"/>
      <c r="D233" s="237" t="s">
        <v>221</v>
      </c>
      <c r="E233" s="237"/>
      <c r="F233" s="237"/>
      <c r="G233" s="237"/>
      <c r="H233" s="237"/>
      <c r="I233" s="237"/>
      <c r="J233" s="237"/>
      <c r="M233" s="240"/>
      <c r="P233"/>
    </row>
    <row r="234" spans="2:16">
      <c r="B234" s="241">
        <f>+B221+1</f>
        <v>131</v>
      </c>
      <c r="C234" s="242"/>
      <c r="D234" s="237" t="s">
        <v>166</v>
      </c>
      <c r="E234" s="337" t="str">
        <f>"(ln "&amp;B68&amp;")"</f>
        <v>(ln 21)</v>
      </c>
      <c r="F234" s="237"/>
      <c r="H234" s="240"/>
      <c r="I234" s="240"/>
      <c r="J234" s="240"/>
      <c r="K234" s="240"/>
      <c r="L234" s="253">
        <f>+G68</f>
        <v>178366663.40153849</v>
      </c>
      <c r="M234" s="240"/>
      <c r="P234"/>
    </row>
    <row r="235" spans="2:16">
      <c r="B235" s="241">
        <f>+B234+1</f>
        <v>132</v>
      </c>
      <c r="C235" s="242"/>
      <c r="D235" s="237" t="str">
        <f>"  Less transmission plant excluded from PJM Tariff  (Worksheet A, ln "&amp;'WS A - RB Support'!A62&amp;", Col. "&amp;'WS A - RB Support'!E47&amp;") (Note P)"</f>
        <v xml:space="preserve">  Less transmission plant excluded from PJM Tariff  (Worksheet A, ln 42, Col. (d)) (Note P)</v>
      </c>
      <c r="G235" s="306"/>
      <c r="L235" s="600">
        <f>'WS A - RB Support'!E62</f>
        <v>15362.70461538464</v>
      </c>
      <c r="M235" s="240"/>
      <c r="P235"/>
    </row>
    <row r="236" spans="2:16" ht="15.75" thickBot="1">
      <c r="B236" s="241">
        <f>+B235+1</f>
        <v>133</v>
      </c>
      <c r="C236" s="242"/>
      <c r="D236" s="237" t="str">
        <f>"  Less transmission plant included in OATT Ancillary Services (Worksheet A, ln "&amp;'WS A - RB Support'!A62&amp;", Col. "&amp;'WS A - RB Support'!C47&amp;")  (Note Q)"</f>
        <v xml:space="preserve">  Less transmission plant included in OATT Ancillary Services (Worksheet A, ln 42, Col. (b))  (Note Q)</v>
      </c>
      <c r="E236" s="237"/>
      <c r="F236" s="237"/>
      <c r="G236" s="254"/>
      <c r="H236" s="240"/>
      <c r="I236" s="240"/>
      <c r="J236" s="254"/>
      <c r="K236" s="240"/>
      <c r="L236" s="338">
        <f>'WS A - RB Support'!C62</f>
        <v>12338960.670769231</v>
      </c>
      <c r="M236" s="240"/>
      <c r="P236"/>
    </row>
    <row r="237" spans="2:16">
      <c r="B237" s="241">
        <f>+B236+1</f>
        <v>134</v>
      </c>
      <c r="C237" s="242"/>
      <c r="D237" s="237" t="s">
        <v>222</v>
      </c>
      <c r="E237" s="251" t="str">
        <f>"(ln "&amp;B234&amp;" - ln "&amp;B235&amp;" - ln "&amp;B236&amp;")"</f>
        <v>(ln 131 - ln 132 - ln 133)</v>
      </c>
      <c r="F237" s="237"/>
      <c r="H237" s="240"/>
      <c r="I237" s="240"/>
      <c r="J237" s="254"/>
      <c r="K237" s="240"/>
      <c r="L237" s="253">
        <f>L234-L235-L236</f>
        <v>166012340.02615386</v>
      </c>
      <c r="M237" s="240"/>
      <c r="P237"/>
    </row>
    <row r="238" spans="2:16">
      <c r="B238" s="241"/>
      <c r="C238" s="242"/>
      <c r="E238" s="237"/>
      <c r="F238" s="237"/>
      <c r="G238" s="254"/>
      <c r="H238" s="240"/>
      <c r="I238" s="240"/>
      <c r="J238" s="254"/>
      <c r="K238" s="240"/>
      <c r="M238" s="240"/>
      <c r="P238"/>
    </row>
    <row r="239" spans="2:16" ht="15.75">
      <c r="B239" s="241">
        <f>+B237+1</f>
        <v>135</v>
      </c>
      <c r="C239" s="242"/>
      <c r="D239" s="237" t="s">
        <v>223</v>
      </c>
      <c r="E239" s="242" t="str">
        <f>"(ln "&amp;B237&amp;" / ln "&amp;B234&amp;")"</f>
        <v>(ln 134 / ln 131)</v>
      </c>
      <c r="F239" s="245"/>
      <c r="H239" s="245"/>
      <c r="I239" s="243"/>
      <c r="J239" s="243"/>
      <c r="K239" s="281" t="s">
        <v>143</v>
      </c>
      <c r="L239" s="339">
        <f>IF(L234&gt;0,L237/L234,0)</f>
        <v>0.93073636553052175</v>
      </c>
      <c r="M239" s="240"/>
      <c r="P239"/>
    </row>
    <row r="240" spans="2:16" ht="15.75">
      <c r="B240" s="241"/>
      <c r="C240" s="242"/>
      <c r="D240" s="336"/>
      <c r="E240" s="237"/>
      <c r="F240" s="237"/>
      <c r="G240" s="240"/>
      <c r="H240" s="237"/>
      <c r="I240" s="242"/>
      <c r="J240" s="237"/>
      <c r="K240" s="237"/>
      <c r="L240" s="237"/>
      <c r="M240" s="240"/>
    </row>
    <row r="241" spans="2:13">
      <c r="B241" s="241" t="s">
        <v>1272</v>
      </c>
      <c r="C241" s="242"/>
      <c r="D241" s="237" t="s">
        <v>1273</v>
      </c>
      <c r="E241" s="237"/>
      <c r="F241" s="237"/>
      <c r="G241" s="240"/>
      <c r="H241" s="237"/>
      <c r="I241" s="242"/>
      <c r="J241" s="237"/>
      <c r="K241" s="237"/>
      <c r="L241" s="237"/>
      <c r="M241" s="240"/>
    </row>
    <row r="242" spans="2:13" ht="15.75">
      <c r="B242" s="241" t="s">
        <v>1274</v>
      </c>
      <c r="C242" s="242"/>
      <c r="D242" s="336" t="s">
        <v>1275</v>
      </c>
      <c r="E242" s="237" t="s">
        <v>1276</v>
      </c>
      <c r="F242" s="237"/>
      <c r="G242" s="240"/>
      <c r="H242" s="237"/>
      <c r="I242" s="242"/>
      <c r="J242" s="237"/>
      <c r="K242" s="237"/>
      <c r="L242" s="253">
        <f>G75</f>
        <v>0</v>
      </c>
      <c r="M242" s="240"/>
    </row>
    <row r="243" spans="2:13" ht="15.75">
      <c r="B243" s="241" t="s">
        <v>1277</v>
      </c>
      <c r="C243" s="242"/>
      <c r="D243" s="336" t="s">
        <v>1278</v>
      </c>
      <c r="E243" s="240" t="s">
        <v>1279</v>
      </c>
      <c r="F243" s="237"/>
      <c r="G243" s="240"/>
      <c r="H243" s="237"/>
      <c r="I243" s="242"/>
      <c r="J243" s="237"/>
      <c r="K243" s="237"/>
      <c r="L243" s="237">
        <f>'WS A - RB Support'!G62</f>
        <v>0</v>
      </c>
      <c r="M243" s="240"/>
    </row>
    <row r="244" spans="2:13" ht="15.75">
      <c r="B244" s="241" t="s">
        <v>1280</v>
      </c>
      <c r="C244" s="242"/>
      <c r="D244" s="336" t="s">
        <v>1281</v>
      </c>
      <c r="E244" s="237" t="s">
        <v>1282</v>
      </c>
      <c r="F244" s="237"/>
      <c r="G244" s="240"/>
      <c r="H244" s="237"/>
      <c r="I244" s="242"/>
      <c r="J244" s="237"/>
      <c r="K244" s="237"/>
      <c r="L244" s="253">
        <f>L242-L243</f>
        <v>0</v>
      </c>
      <c r="M244" s="240"/>
    </row>
    <row r="245" spans="2:13" ht="15.75">
      <c r="B245" s="241"/>
      <c r="C245" s="242"/>
      <c r="D245" s="336"/>
      <c r="E245" s="237"/>
      <c r="F245" s="237"/>
      <c r="G245" s="240"/>
      <c r="H245" s="237"/>
      <c r="I245" s="242"/>
      <c r="J245" s="237"/>
      <c r="K245" s="237"/>
      <c r="L245" s="237"/>
      <c r="M245" s="240"/>
    </row>
    <row r="246" spans="2:13" ht="15.75">
      <c r="B246" s="241" t="s">
        <v>1283</v>
      </c>
      <c r="C246" s="242"/>
      <c r="D246" s="237" t="s">
        <v>1284</v>
      </c>
      <c r="E246" s="237" t="s">
        <v>1285</v>
      </c>
      <c r="F246" s="237"/>
      <c r="G246" s="240"/>
      <c r="H246" s="237"/>
      <c r="I246" s="242"/>
      <c r="J246" s="237"/>
      <c r="K246" s="237" t="s">
        <v>1286</v>
      </c>
      <c r="L246" s="336">
        <f>IFERROR(L244/L242,1)</f>
        <v>1</v>
      </c>
      <c r="M246" s="240"/>
    </row>
    <row r="247" spans="2:13" ht="15.75">
      <c r="B247" s="241"/>
      <c r="C247" s="242"/>
      <c r="D247" s="336"/>
      <c r="E247" s="237"/>
      <c r="F247" s="237"/>
      <c r="G247" s="240"/>
      <c r="H247" s="237"/>
      <c r="I247" s="242"/>
      <c r="J247" s="237"/>
      <c r="K247" s="237"/>
      <c r="L247" s="237"/>
      <c r="M247" s="240"/>
    </row>
    <row r="248" spans="2:13" ht="45">
      <c r="B248" s="241">
        <f>B239+1</f>
        <v>136</v>
      </c>
      <c r="C248" s="242"/>
      <c r="D248" s="237" t="s">
        <v>41</v>
      </c>
      <c r="E248" s="254" t="s">
        <v>343</v>
      </c>
      <c r="F248" s="254" t="s">
        <v>184</v>
      </c>
      <c r="G248" s="340" t="s">
        <v>214</v>
      </c>
      <c r="H248" s="306" t="s">
        <v>118</v>
      </c>
      <c r="I248" s="254"/>
      <c r="J248" s="240"/>
      <c r="K248" s="240"/>
      <c r="L248" s="240"/>
      <c r="M248" s="240"/>
    </row>
    <row r="249" spans="2:13">
      <c r="B249" s="241">
        <f t="shared" ref="B249:B255" si="12">+B248+1</f>
        <v>137</v>
      </c>
      <c r="C249" s="242"/>
      <c r="D249" s="237" t="s">
        <v>126</v>
      </c>
      <c r="E249" s="240" t="s">
        <v>431</v>
      </c>
      <c r="F249" s="602">
        <v>9855514</v>
      </c>
      <c r="G249" s="602">
        <v>5134666</v>
      </c>
      <c r="H249" s="282">
        <f>+F249+G249</f>
        <v>14990180</v>
      </c>
      <c r="I249" s="254" t="s">
        <v>127</v>
      </c>
      <c r="J249" s="255">
        <v>0</v>
      </c>
      <c r="K249" s="341"/>
      <c r="L249" s="253">
        <f>(F249+G249)*J249</f>
        <v>0</v>
      </c>
      <c r="M249" s="240"/>
    </row>
    <row r="250" spans="2:13">
      <c r="B250" s="241">
        <f t="shared" si="12"/>
        <v>138</v>
      </c>
      <c r="C250" s="242"/>
      <c r="D250" s="237" t="s">
        <v>128</v>
      </c>
      <c r="E250" s="240" t="s">
        <v>12</v>
      </c>
      <c r="F250" s="602">
        <v>15323</v>
      </c>
      <c r="G250" s="602">
        <v>464611</v>
      </c>
      <c r="H250" s="282">
        <f>+F250+G250</f>
        <v>479934</v>
      </c>
      <c r="I250" s="242" t="s">
        <v>120</v>
      </c>
      <c r="J250" s="255">
        <f>L239</f>
        <v>0.93073636553052175</v>
      </c>
      <c r="K250" s="341"/>
      <c r="L250" s="253">
        <f>(F250+G250)*J250</f>
        <v>446692.02685452544</v>
      </c>
      <c r="M250" s="240"/>
    </row>
    <row r="251" spans="2:13">
      <c r="B251" s="241">
        <f t="shared" si="12"/>
        <v>139</v>
      </c>
      <c r="C251" s="242"/>
      <c r="D251" s="237" t="s">
        <v>226</v>
      </c>
      <c r="E251" s="240" t="s">
        <v>465</v>
      </c>
      <c r="F251" s="602">
        <v>0</v>
      </c>
      <c r="G251" s="602">
        <v>0</v>
      </c>
      <c r="H251" s="282">
        <f>+F251+G251</f>
        <v>0</v>
      </c>
      <c r="I251" s="254" t="s">
        <v>127</v>
      </c>
      <c r="J251" s="255">
        <v>0</v>
      </c>
      <c r="K251" s="341"/>
      <c r="L251" s="253">
        <f>(F251+G251)*J251</f>
        <v>0</v>
      </c>
      <c r="M251" s="240"/>
    </row>
    <row r="252" spans="2:13">
      <c r="B252" s="241" t="s">
        <v>1287</v>
      </c>
      <c r="C252" s="242"/>
      <c r="D252" s="237" t="s">
        <v>1288</v>
      </c>
      <c r="E252" s="240" t="s">
        <v>1289</v>
      </c>
      <c r="F252" s="1203">
        <v>0</v>
      </c>
      <c r="G252" s="1203">
        <v>0</v>
      </c>
      <c r="H252" s="282">
        <f t="shared" ref="H252" si="13">+F252+G252</f>
        <v>0</v>
      </c>
      <c r="I252" s="254" t="s">
        <v>1271</v>
      </c>
      <c r="J252" s="255">
        <f>L246</f>
        <v>1</v>
      </c>
      <c r="K252" s="341"/>
      <c r="L252" s="253">
        <f t="shared" ref="L252" si="14">(F252+G252)*J252</f>
        <v>0</v>
      </c>
      <c r="M252" s="240"/>
    </row>
    <row r="253" spans="2:13">
      <c r="B253" s="241">
        <f>+B251+1</f>
        <v>140</v>
      </c>
      <c r="C253" s="242"/>
      <c r="D253" s="237" t="s">
        <v>130</v>
      </c>
      <c r="E253" s="240" t="s">
        <v>429</v>
      </c>
      <c r="F253" s="602">
        <v>2019307</v>
      </c>
      <c r="G253" s="602">
        <v>485209</v>
      </c>
      <c r="H253" s="282">
        <f>+F253+G253</f>
        <v>2504516</v>
      </c>
      <c r="I253" s="254" t="s">
        <v>127</v>
      </c>
      <c r="J253" s="255">
        <v>0</v>
      </c>
      <c r="K253" s="341"/>
      <c r="L253" s="253">
        <f>(F253+G253)*J253</f>
        <v>0</v>
      </c>
      <c r="M253" s="240"/>
    </row>
    <row r="254" spans="2:13" ht="15.75" thickBot="1">
      <c r="B254" s="241">
        <f t="shared" si="12"/>
        <v>141</v>
      </c>
      <c r="C254" s="242"/>
      <c r="D254" s="237" t="s">
        <v>201</v>
      </c>
      <c r="E254" s="240" t="s">
        <v>430</v>
      </c>
      <c r="F254" s="603">
        <v>77918</v>
      </c>
      <c r="G254" s="603">
        <v>409782</v>
      </c>
      <c r="H254" s="342">
        <f>+F254+G254</f>
        <v>487700</v>
      </c>
      <c r="I254" s="254" t="s">
        <v>127</v>
      </c>
      <c r="J254" s="255">
        <v>0</v>
      </c>
      <c r="K254" s="341"/>
      <c r="L254" s="288">
        <f>(F254+G254)*J254</f>
        <v>0</v>
      </c>
      <c r="M254" s="240"/>
    </row>
    <row r="255" spans="2:13" ht="15.75">
      <c r="B255" s="241">
        <f t="shared" si="12"/>
        <v>142</v>
      </c>
      <c r="C255" s="242"/>
      <c r="D255" s="237" t="s">
        <v>118</v>
      </c>
      <c r="E255" s="237" t="str">
        <f>"(sum lns "&amp;B249&amp;" to "&amp;B254&amp;")"</f>
        <v>(sum lns 137 to 141)</v>
      </c>
      <c r="F255" s="240">
        <f>SUM(F249:F254)</f>
        <v>11968062</v>
      </c>
      <c r="G255" s="240">
        <f>SUM(G249:G254)</f>
        <v>6494268</v>
      </c>
      <c r="H255" s="240">
        <f>SUM(H249:H254)</f>
        <v>18462330</v>
      </c>
      <c r="I255" s="254"/>
      <c r="J255" s="240"/>
      <c r="K255" s="240"/>
      <c r="L255" s="253">
        <f>SUM(L249:L254)</f>
        <v>446692.02685452544</v>
      </c>
      <c r="M255" s="276"/>
    </row>
    <row r="256" spans="2:13">
      <c r="B256" s="241"/>
      <c r="C256" s="242"/>
      <c r="D256" s="237" t="s">
        <v>114</v>
      </c>
      <c r="E256" s="240" t="s">
        <v>114</v>
      </c>
      <c r="F256" s="240"/>
      <c r="H256" s="240"/>
      <c r="I256" s="306"/>
    </row>
    <row r="257" spans="2:21" ht="15.75">
      <c r="B257" s="241">
        <f>B255+1</f>
        <v>143</v>
      </c>
      <c r="C257" s="242"/>
      <c r="D257" s="237" t="s">
        <v>42</v>
      </c>
      <c r="E257" s="240"/>
      <c r="F257" s="240"/>
      <c r="G257" s="240"/>
      <c r="H257" s="240"/>
      <c r="I257" s="306"/>
      <c r="K257" s="343" t="s">
        <v>43</v>
      </c>
      <c r="L257" s="344">
        <f>L255/(F255+G255)</f>
        <v>2.4194780770061278E-2</v>
      </c>
    </row>
    <row r="258" spans="2:21">
      <c r="B258" s="241"/>
      <c r="C258" s="242"/>
      <c r="D258" s="237"/>
      <c r="E258" s="240"/>
      <c r="F258" s="240"/>
      <c r="G258" s="240"/>
      <c r="H258" s="240"/>
      <c r="I258" s="254"/>
      <c r="J258" s="240"/>
      <c r="K258" s="240"/>
      <c r="L258" s="240"/>
      <c r="M258" s="240"/>
    </row>
    <row r="259" spans="2:21" ht="15.75">
      <c r="B259" s="241"/>
      <c r="C259" s="242"/>
      <c r="D259" s="237"/>
      <c r="E259" s="249"/>
      <c r="F259" s="240"/>
      <c r="H259" s="240"/>
      <c r="I259" s="240"/>
      <c r="J259" s="240"/>
      <c r="K259" s="281"/>
      <c r="L259" s="345"/>
      <c r="M259" s="240"/>
    </row>
    <row r="260" spans="2:21" ht="15.75" thickBot="1">
      <c r="B260" s="241">
        <f>+B257+1</f>
        <v>144</v>
      </c>
      <c r="C260" s="242"/>
      <c r="D260" s="237" t="s">
        <v>198</v>
      </c>
      <c r="E260" s="240"/>
      <c r="F260" s="240"/>
      <c r="G260" s="240"/>
      <c r="H260" s="240"/>
      <c r="I260" s="240"/>
      <c r="J260" s="240"/>
      <c r="K260" s="240"/>
      <c r="L260" s="346" t="s">
        <v>144</v>
      </c>
      <c r="M260" s="240"/>
    </row>
    <row r="261" spans="2:21">
      <c r="B261" s="241">
        <f t="shared" ref="B261:B268" si="15">+B260+1</f>
        <v>145</v>
      </c>
      <c r="C261" s="242"/>
      <c r="D261" s="240" t="s">
        <v>219</v>
      </c>
      <c r="E261" s="233" t="str">
        <f>"(Worksheet M, ln. "&amp;'WS M - Cost of Capital'!A56&amp;", col. "&amp;'WS M - Cost of Capital'!E47&amp;")"</f>
        <v>(Worksheet M, ln. 37, col. (d))</v>
      </c>
      <c r="F261" s="240"/>
      <c r="G261" s="240"/>
      <c r="H261" s="240"/>
      <c r="I261" s="240"/>
      <c r="J261" s="240"/>
      <c r="K261" s="240"/>
      <c r="L261" s="253">
        <f>'WS M - Cost of Capital'!E56</f>
        <v>40877407.329999998</v>
      </c>
      <c r="M261" s="240"/>
    </row>
    <row r="262" spans="2:21">
      <c r="B262" s="241">
        <f t="shared" si="15"/>
        <v>146</v>
      </c>
      <c r="C262" s="242"/>
      <c r="D262" s="240" t="s">
        <v>220</v>
      </c>
      <c r="E262" s="233" t="str">
        <f>"(Worksheet M, ln. "&amp;'WS M - Cost of Capital'!A103&amp;")"</f>
        <v>(Worksheet M, ln. 71)</v>
      </c>
      <c r="F262" s="240"/>
      <c r="G262" s="240"/>
      <c r="H262" s="240"/>
      <c r="I262" s="240"/>
      <c r="J262" s="240"/>
      <c r="K262" s="240"/>
      <c r="L262" s="253">
        <f>'WS M - Cost of Capital'!E103</f>
        <v>0</v>
      </c>
      <c r="M262" s="240"/>
    </row>
    <row r="263" spans="2:21">
      <c r="B263" s="241">
        <f t="shared" si="15"/>
        <v>147</v>
      </c>
      <c r="C263" s="242"/>
      <c r="D263" s="347" t="s">
        <v>242</v>
      </c>
      <c r="E263" s="240"/>
      <c r="F263" s="240"/>
      <c r="G263" s="240"/>
      <c r="H263"/>
      <c r="I263" s="240"/>
      <c r="J263" s="240"/>
      <c r="K263" s="240"/>
      <c r="L263" s="253"/>
      <c r="M263" s="240"/>
    </row>
    <row r="264" spans="2:21">
      <c r="B264" s="241">
        <f t="shared" si="15"/>
        <v>148</v>
      </c>
      <c r="C264" s="242"/>
      <c r="D264" s="240" t="s">
        <v>243</v>
      </c>
      <c r="E264" s="361" t="str">
        <f>"(Worksheet M, ln. "&amp;'WS M - Cost of Capital'!A23&amp;", col. "&amp;'WS M - Cost of Capital'!C8&amp;")"</f>
        <v>(Worksheet M, ln. 14, col. (b))</v>
      </c>
      <c r="F264" s="240"/>
      <c r="G264" s="237"/>
      <c r="H264" s="67"/>
      <c r="I264" s="240"/>
      <c r="J264" s="240"/>
      <c r="K264" s="240"/>
      <c r="L264" s="253">
        <f>'WS M - Cost of Capital'!C23</f>
        <v>575023749.79446149</v>
      </c>
      <c r="M264" s="240"/>
    </row>
    <row r="265" spans="2:21">
      <c r="B265" s="241">
        <f t="shared" si="15"/>
        <v>149</v>
      </c>
      <c r="C265" s="242"/>
      <c r="D265" s="240" t="s">
        <v>368</v>
      </c>
      <c r="E265" s="361" t="str">
        <f>"(Worksheet M, ln. "&amp;'WS M - Cost of Capital'!A23&amp;", col. "&amp;'WS M - Cost of Capital'!D8&amp;")"</f>
        <v>(Worksheet M, ln. 14, col. (c))</v>
      </c>
      <c r="F265" s="240"/>
      <c r="G265" s="240"/>
      <c r="H265" s="67"/>
      <c r="I265" s="240"/>
      <c r="J265" s="240"/>
      <c r="K265" s="240"/>
      <c r="L265" s="282">
        <f>'WS M - Cost of Capital'!D23</f>
        <v>0</v>
      </c>
      <c r="M265" s="240"/>
    </row>
    <row r="266" spans="2:21">
      <c r="B266" s="241">
        <f>+B265+1</f>
        <v>150</v>
      </c>
      <c r="C266" s="242"/>
      <c r="D266" s="240" t="s">
        <v>361</v>
      </c>
      <c r="E266" s="361" t="str">
        <f>"(Worksheet M, ln. "&amp;'WS M - Cost of Capital'!A23&amp;", col. "&amp;'WS M - Cost of Capital'!E8&amp;")"</f>
        <v>(Worksheet M, ln. 14, col. (d))</v>
      </c>
      <c r="F266" s="240"/>
      <c r="G266" s="240"/>
      <c r="H266" s="67"/>
      <c r="I266" s="240"/>
      <c r="J266" s="240"/>
      <c r="K266" s="240"/>
      <c r="L266" s="282">
        <f>'WS M - Cost of Capital'!E23</f>
        <v>0</v>
      </c>
      <c r="M266" s="240"/>
    </row>
    <row r="267" spans="2:21" ht="15.75" thickBot="1">
      <c r="B267" s="241">
        <f t="shared" si="15"/>
        <v>151</v>
      </c>
      <c r="C267" s="242"/>
      <c r="D267" s="240" t="s">
        <v>367</v>
      </c>
      <c r="E267" s="361" t="str">
        <f>"(Worksheet M, ln. "&amp;'WS M - Cost of Capital'!A23&amp;", col. "&amp;'WS M - Cost of Capital'!F8&amp;")"</f>
        <v>(Worksheet M, ln. 14, col. (e))</v>
      </c>
      <c r="F267" s="240"/>
      <c r="G267" s="240"/>
      <c r="H267" s="67"/>
      <c r="I267" s="240"/>
      <c r="J267" s="301"/>
      <c r="K267" s="240"/>
      <c r="L267" s="342">
        <f>'WS M - Cost of Capital'!F23</f>
        <v>-1326565.5692307691</v>
      </c>
      <c r="M267" s="240"/>
    </row>
    <row r="268" spans="2:21">
      <c r="B268" s="241">
        <f t="shared" si="15"/>
        <v>152</v>
      </c>
      <c r="C268" s="242"/>
      <c r="D268" s="233" t="s">
        <v>244</v>
      </c>
      <c r="E268" s="240" t="str">
        <f>"(ln "&amp;B264&amp;" - ln "&amp;B265&amp;" - ln "&amp;B266&amp;" - ln "&amp;B267&amp;")"</f>
        <v>(ln 148 - ln 149 - ln 150 - ln 151)</v>
      </c>
      <c r="F268" s="249"/>
      <c r="H268" s="237"/>
      <c r="I268" s="237"/>
      <c r="J268" s="237"/>
      <c r="K268" s="237"/>
      <c r="L268" s="253">
        <f>+L264-L265-L266-L267</f>
        <v>576350315.36369228</v>
      </c>
      <c r="M268" s="240"/>
    </row>
    <row r="269" spans="2:21" ht="15.75">
      <c r="B269" s="241"/>
      <c r="C269" s="242"/>
      <c r="D269" s="237"/>
      <c r="E269" s="240"/>
      <c r="F269" s="240"/>
      <c r="G269" s="1238" t="s">
        <v>896</v>
      </c>
      <c r="H269" s="1238"/>
      <c r="I269" s="1238"/>
      <c r="J269" s="348" t="s">
        <v>145</v>
      </c>
      <c r="K269" s="240"/>
      <c r="L269" s="240"/>
      <c r="M269" s="240"/>
    </row>
    <row r="270" spans="2:21" ht="15.75" thickBot="1">
      <c r="B270" s="241">
        <f>+B268+1</f>
        <v>153</v>
      </c>
      <c r="C270" s="242"/>
      <c r="D270" s="237"/>
      <c r="F270" s="240"/>
      <c r="G270" s="248" t="s">
        <v>144</v>
      </c>
      <c r="H270" s="248" t="s">
        <v>146</v>
      </c>
      <c r="I270" s="346" t="s">
        <v>897</v>
      </c>
      <c r="J270" s="349" t="s">
        <v>427</v>
      </c>
      <c r="K270" s="240"/>
      <c r="L270" s="248" t="s">
        <v>147</v>
      </c>
      <c r="M270" s="240"/>
      <c r="N270" s="237"/>
      <c r="O270" s="237"/>
      <c r="P270" s="237"/>
      <c r="Q270" s="237"/>
      <c r="R270" s="237"/>
      <c r="S270" s="237"/>
      <c r="T270" s="237"/>
      <c r="U270" s="237"/>
    </row>
    <row r="271" spans="2:21">
      <c r="B271" s="241">
        <f>+B270+1</f>
        <v>154</v>
      </c>
      <c r="C271" s="242"/>
      <c r="D271" s="361" t="str">
        <f>"  Long Term Debt  (Note T) Worksheet M, ln "&amp;'WS M - Cost of Capital'!A42&amp;", col. (g), ln "&amp;'WS M - Cost of Capital'!A58&amp;", col. "&amp;'WS M - Cost of Capital'!E47&amp;")"</f>
        <v xml:space="preserve">  Long Term Debt  (Note T) Worksheet M, ln 28, col. (g), ln 38, col. (d))</v>
      </c>
      <c r="E271" s="361"/>
      <c r="F271" s="240"/>
      <c r="G271" s="253">
        <f>'WS M - Cost of Capital'!H42</f>
        <v>687846153.84615386</v>
      </c>
      <c r="H271" s="263">
        <f>IF($G$274&gt;0,G271/$G$274,0)</f>
        <v>0.54409751221348901</v>
      </c>
      <c r="I271" s="263">
        <f>IF(H273&gt;E276,1-I272-I273,H271)</f>
        <v>0.54409751221348901</v>
      </c>
      <c r="J271" s="301">
        <f>'WS M - Cost of Capital'!E58</f>
        <v>5.9428125172220979E-2</v>
      </c>
      <c r="L271" s="351">
        <f>I271*J271</f>
        <v>3.233469506171726E-2</v>
      </c>
      <c r="M271" s="352"/>
      <c r="N271" s="237"/>
      <c r="O271" s="237"/>
      <c r="P271" s="237"/>
      <c r="Q271" s="237"/>
      <c r="R271" s="237"/>
      <c r="S271" s="237"/>
      <c r="T271" s="237"/>
      <c r="U271" s="237"/>
    </row>
    <row r="272" spans="2:21">
      <c r="B272" s="241">
        <f>+B271+1</f>
        <v>155</v>
      </c>
      <c r="C272" s="242"/>
      <c r="D272" s="237" t="str">
        <f>"  Preferred Stock (ln "&amp;B265&amp;")"</f>
        <v xml:space="preserve">  Preferred Stock (ln 149)</v>
      </c>
      <c r="G272" s="253">
        <f>+L265</f>
        <v>0</v>
      </c>
      <c r="H272" s="263">
        <f>IF($G$274&gt;0,G272/$G$274,0)</f>
        <v>0</v>
      </c>
      <c r="I272" s="263">
        <f>H272</f>
        <v>0</v>
      </c>
      <c r="J272" s="350">
        <f>IF(G272&gt;0,L262/G272,0)</f>
        <v>0</v>
      </c>
      <c r="L272" s="353">
        <f>IH272*J272</f>
        <v>0</v>
      </c>
      <c r="M272" s="240"/>
    </row>
    <row r="273" spans="2:21" ht="15.75" thickBot="1">
      <c r="B273" s="241">
        <f>+B272+1</f>
        <v>156</v>
      </c>
      <c r="C273" s="242"/>
      <c r="D273" s="237" t="str">
        <f>"  Common Stock (ln "&amp;B268&amp;")"</f>
        <v xml:space="preserve">  Common Stock (ln 152)</v>
      </c>
      <c r="G273" s="288">
        <f>+L268</f>
        <v>576350315.36369228</v>
      </c>
      <c r="H273" s="263">
        <f>IF($G$274&gt;0,G273/$G$274,0)</f>
        <v>0.4559024877865111</v>
      </c>
      <c r="I273" s="263">
        <f>IF(H273&gt;E276,E276,H273)</f>
        <v>0.4559024877865111</v>
      </c>
      <c r="J273" s="604">
        <v>0.10349999999999999</v>
      </c>
      <c r="L273" s="354">
        <f>I273*J273</f>
        <v>4.71859074859039E-2</v>
      </c>
      <c r="M273" s="240"/>
    </row>
    <row r="274" spans="2:21" ht="15.75">
      <c r="B274" s="241">
        <f>+B273+1</f>
        <v>157</v>
      </c>
      <c r="C274" s="242"/>
      <c r="D274" s="237" t="str">
        <f>" Total (Sum lns "&amp;B271&amp;" to "&amp;B273&amp;")"</f>
        <v xml:space="preserve"> Total (Sum lns 154 to 156)</v>
      </c>
      <c r="G274" s="253">
        <f>G273+G272+G271</f>
        <v>1264196469.209846</v>
      </c>
      <c r="I274" s="319"/>
      <c r="J274" s="355"/>
      <c r="K274" s="298" t="s">
        <v>25</v>
      </c>
      <c r="L274" s="356">
        <f>SUM(L271:L273)</f>
        <v>7.9520602547621166E-2</v>
      </c>
      <c r="M274" s="357"/>
    </row>
    <row r="275" spans="2:21" ht="15.75">
      <c r="B275" s="241"/>
      <c r="C275" s="242"/>
      <c r="D275" s="237"/>
      <c r="G275" s="253"/>
      <c r="I275" s="319"/>
      <c r="J275" s="355"/>
      <c r="K275" s="298"/>
      <c r="L275" s="356"/>
      <c r="M275" s="357"/>
    </row>
    <row r="276" spans="2:21" ht="15.75">
      <c r="B276" s="241">
        <f>B274+1</f>
        <v>158</v>
      </c>
      <c r="C276" s="11"/>
      <c r="D276" s="11" t="s">
        <v>895</v>
      </c>
      <c r="E276" s="971">
        <v>0.55000000000000004</v>
      </c>
      <c r="G276" s="253"/>
      <c r="I276" s="319"/>
      <c r="J276" s="355"/>
      <c r="K276" s="298"/>
      <c r="L276" s="356"/>
      <c r="M276" s="357"/>
    </row>
    <row r="277" spans="2:21">
      <c r="B277" s="241"/>
      <c r="C277" s="67"/>
      <c r="D277" s="67"/>
      <c r="E277"/>
      <c r="F277"/>
      <c r="G277"/>
      <c r="H277"/>
      <c r="I277"/>
      <c r="J277" s="240"/>
      <c r="K277" s="237"/>
      <c r="L277" s="240"/>
      <c r="M277" s="237"/>
      <c r="N277" s="237"/>
      <c r="O277" s="237"/>
      <c r="P277" s="237"/>
      <c r="Q277" s="237"/>
      <c r="R277" s="237"/>
      <c r="S277" s="237"/>
      <c r="T277" s="237"/>
      <c r="U277" s="237"/>
    </row>
    <row r="278" spans="2:21" ht="15.75">
      <c r="B278" s="304"/>
      <c r="C278" s="242"/>
      <c r="D278" s="234"/>
      <c r="E278" s="234"/>
      <c r="F278" s="306" t="str">
        <f>F224</f>
        <v xml:space="preserve">AEP East Companies </v>
      </c>
      <c r="G278" s="235"/>
      <c r="H278" s="240"/>
      <c r="I278" s="240"/>
      <c r="J278" s="240"/>
      <c r="K278" s="237"/>
      <c r="L278" s="240"/>
      <c r="M278" s="272"/>
      <c r="N278" s="237"/>
      <c r="O278" s="237"/>
      <c r="P278" s="237"/>
      <c r="Q278" s="237"/>
      <c r="R278" s="237"/>
      <c r="S278" s="237"/>
      <c r="T278" s="237"/>
      <c r="U278" s="237"/>
    </row>
    <row r="279" spans="2:21">
      <c r="B279" s="304"/>
      <c r="C279" s="242"/>
      <c r="E279" s="242"/>
      <c r="F279" s="306" t="str">
        <f>F225</f>
        <v>Transmission Cost of Service Formula Rate</v>
      </c>
      <c r="G279" s="240"/>
      <c r="H279" s="240"/>
      <c r="I279" s="240"/>
      <c r="J279" s="240"/>
      <c r="K279" s="237"/>
      <c r="L279" s="250"/>
      <c r="M279" s="272"/>
      <c r="N279" s="237"/>
      <c r="O279" s="237"/>
      <c r="P279" s="237"/>
      <c r="Q279" s="237"/>
      <c r="R279" s="237"/>
      <c r="S279" s="237"/>
      <c r="T279" s="237"/>
      <c r="U279" s="237"/>
    </row>
    <row r="280" spans="2:21" ht="15.75">
      <c r="B280" s="304"/>
      <c r="C280" s="242"/>
      <c r="E280" s="307"/>
      <c r="F280" s="306" t="str">
        <f>F226</f>
        <v>Utilizing  Actual/Projected FERC Form 1 Data</v>
      </c>
      <c r="G280" s="240"/>
      <c r="H280" s="240"/>
      <c r="I280" s="240"/>
      <c r="J280" s="240"/>
      <c r="K280" s="237"/>
      <c r="L280" s="250"/>
      <c r="M280" s="272"/>
      <c r="N280" s="237"/>
      <c r="O280" s="237"/>
      <c r="P280" s="237"/>
      <c r="Q280" s="237"/>
      <c r="R280" s="237"/>
      <c r="S280" s="237"/>
      <c r="T280" s="237"/>
      <c r="U280" s="237"/>
    </row>
    <row r="281" spans="2:21" ht="15.75">
      <c r="B281" s="241"/>
      <c r="C281" s="242"/>
      <c r="E281" s="307"/>
      <c r="F281" s="306"/>
      <c r="G281" s="240"/>
      <c r="H281" s="240"/>
      <c r="I281" s="240"/>
      <c r="J281" s="240"/>
      <c r="K281" s="237"/>
      <c r="L281" s="250"/>
      <c r="N281" s="237"/>
      <c r="O281" s="237"/>
      <c r="P281" s="237"/>
      <c r="Q281" s="237"/>
      <c r="R281" s="237"/>
      <c r="S281" s="237"/>
      <c r="T281" s="237"/>
      <c r="U281" s="237"/>
    </row>
    <row r="282" spans="2:21" ht="15.75">
      <c r="B282" s="241"/>
      <c r="C282" s="242"/>
      <c r="E282" s="307"/>
      <c r="F282" s="306" t="str">
        <f>F228</f>
        <v>WHEELING POWER COMPANY</v>
      </c>
      <c r="G282" s="240"/>
      <c r="H282" s="240"/>
      <c r="I282" s="240"/>
      <c r="J282" s="240"/>
      <c r="K282" s="237"/>
      <c r="L282" s="250"/>
      <c r="N282" s="237"/>
      <c r="O282" s="237"/>
      <c r="P282" s="237"/>
      <c r="Q282" s="237"/>
      <c r="R282" s="237"/>
      <c r="S282" s="237"/>
      <c r="T282" s="237"/>
      <c r="U282" s="237"/>
    </row>
    <row r="283" spans="2:21" ht="15.75">
      <c r="B283" s="241"/>
      <c r="C283" s="242"/>
      <c r="E283" s="307"/>
      <c r="F283" s="306"/>
      <c r="G283" s="240"/>
      <c r="H283" s="240"/>
      <c r="I283" s="240"/>
      <c r="J283" s="240"/>
      <c r="K283" s="237"/>
      <c r="L283" s="250"/>
      <c r="N283" s="237"/>
      <c r="O283" s="237"/>
      <c r="P283" s="237"/>
      <c r="Q283" s="237"/>
      <c r="R283" s="237"/>
      <c r="S283" s="237"/>
      <c r="T283" s="237"/>
      <c r="U283" s="237"/>
    </row>
    <row r="284" spans="2:21" ht="15.75">
      <c r="B284" s="280" t="s">
        <v>176</v>
      </c>
      <c r="C284" s="242"/>
      <c r="D284" s="237"/>
      <c r="E284" s="237"/>
      <c r="F284" s="280" t="s">
        <v>175</v>
      </c>
      <c r="G284" s="240"/>
      <c r="H284" s="240"/>
      <c r="I284" s="240"/>
      <c r="J284" s="240"/>
      <c r="K284" s="237"/>
      <c r="L284" s="240"/>
      <c r="N284" s="237"/>
      <c r="O284" s="237"/>
      <c r="P284" s="237"/>
      <c r="Q284" s="237"/>
      <c r="R284" s="237"/>
      <c r="S284" s="237"/>
      <c r="T284" s="237"/>
      <c r="U284" s="237"/>
    </row>
    <row r="285" spans="2:21">
      <c r="C285" s="242"/>
      <c r="L285" s="250"/>
      <c r="N285" s="237"/>
      <c r="O285" s="237"/>
      <c r="P285" s="237"/>
      <c r="Q285" s="237"/>
      <c r="R285" s="237"/>
      <c r="S285" s="237"/>
      <c r="T285" s="237"/>
      <c r="U285" s="237"/>
    </row>
    <row r="286" spans="2:21">
      <c r="B286" s="241"/>
      <c r="C286" s="242"/>
      <c r="D286" s="237" t="s">
        <v>5</v>
      </c>
      <c r="E286" s="242"/>
      <c r="F286" s="242"/>
      <c r="G286" s="240"/>
      <c r="H286" s="240"/>
      <c r="I286" s="240"/>
      <c r="J286" s="240"/>
      <c r="K286" s="237"/>
      <c r="L286" s="240"/>
      <c r="M286" s="237"/>
      <c r="N286" s="237"/>
      <c r="O286" s="237"/>
      <c r="P286" s="237"/>
      <c r="Q286" s="237"/>
      <c r="R286" s="237"/>
      <c r="S286" s="237"/>
      <c r="T286" s="237"/>
      <c r="U286" s="237"/>
    </row>
    <row r="287" spans="2:21">
      <c r="B287" s="233"/>
      <c r="D287" s="237"/>
      <c r="E287" s="237"/>
      <c r="F287" s="237"/>
      <c r="G287" s="240"/>
      <c r="H287" s="240"/>
      <c r="I287" s="240"/>
      <c r="J287" s="240"/>
      <c r="K287" s="237"/>
      <c r="L287" s="240"/>
      <c r="M287" s="237"/>
      <c r="N287" s="237"/>
      <c r="O287" s="237"/>
      <c r="P287" s="237"/>
      <c r="Q287" s="237"/>
      <c r="R287" s="237"/>
      <c r="S287" s="237"/>
      <c r="T287" s="237"/>
      <c r="U287" s="237"/>
    </row>
    <row r="288" spans="2:21" ht="3.75" customHeight="1">
      <c r="B288" s="233"/>
      <c r="D288" s="237"/>
      <c r="E288" s="237"/>
      <c r="F288" s="237"/>
      <c r="G288" s="240"/>
      <c r="H288" s="240"/>
      <c r="I288" s="240"/>
      <c r="J288" s="240"/>
      <c r="K288" s="237"/>
      <c r="L288" s="240"/>
      <c r="M288" s="237"/>
      <c r="N288" s="237"/>
      <c r="O288" s="237"/>
      <c r="P288" s="237"/>
      <c r="Q288" s="237"/>
      <c r="R288" s="237"/>
      <c r="S288" s="237"/>
      <c r="T288" s="237"/>
      <c r="U288" s="237"/>
    </row>
    <row r="289" spans="2:21">
      <c r="B289" s="358" t="s">
        <v>148</v>
      </c>
      <c r="C289" s="242"/>
      <c r="D289" s="237" t="s">
        <v>476</v>
      </c>
      <c r="E289" s="237"/>
      <c r="F289" s="237"/>
      <c r="G289" s="240"/>
      <c r="H289" s="240"/>
      <c r="I289" s="240"/>
      <c r="J289" s="240"/>
      <c r="K289" s="237"/>
      <c r="L289" s="240"/>
      <c r="M289" s="237"/>
      <c r="N289" s="237"/>
      <c r="O289" s="237"/>
      <c r="P289" s="237"/>
      <c r="Q289" s="237"/>
      <c r="R289" s="237"/>
      <c r="S289" s="237"/>
      <c r="T289" s="237"/>
      <c r="U289" s="237"/>
    </row>
    <row r="290" spans="2:21">
      <c r="B290" s="358"/>
      <c r="C290" s="306"/>
      <c r="D290" s="237" t="s">
        <v>369</v>
      </c>
      <c r="E290" s="237"/>
      <c r="F290" s="237"/>
      <c r="G290" s="237"/>
      <c r="H290" s="237"/>
      <c r="I290" s="237"/>
      <c r="J290" s="237"/>
      <c r="K290" s="237"/>
      <c r="L290" s="237"/>
      <c r="M290" s="237"/>
      <c r="N290" s="237"/>
      <c r="O290" s="237"/>
      <c r="P290" s="237"/>
      <c r="Q290" s="237"/>
      <c r="R290" s="237"/>
      <c r="S290" s="237"/>
      <c r="T290" s="237"/>
      <c r="U290" s="237"/>
    </row>
    <row r="291" spans="2:21">
      <c r="D291" s="233" t="s">
        <v>370</v>
      </c>
      <c r="E291" s="263"/>
      <c r="F291" s="263"/>
      <c r="G291" s="237"/>
      <c r="H291" s="237"/>
      <c r="I291" s="237"/>
      <c r="J291" s="237"/>
      <c r="K291" s="237"/>
      <c r="L291" s="237"/>
      <c r="M291" s="237"/>
      <c r="N291" s="237"/>
      <c r="O291" s="237"/>
      <c r="P291" s="237"/>
      <c r="Q291" s="237"/>
      <c r="R291" s="237"/>
      <c r="S291" s="237"/>
      <c r="T291" s="237"/>
      <c r="U291" s="237"/>
    </row>
    <row r="292" spans="2:21">
      <c r="D292" s="237" t="s">
        <v>477</v>
      </c>
      <c r="E292" s="237"/>
      <c r="F292" s="237"/>
      <c r="G292" s="237"/>
      <c r="H292" s="237"/>
      <c r="I292" s="237"/>
      <c r="J292" s="237"/>
      <c r="K292" s="237"/>
      <c r="L292" s="237"/>
      <c r="M292" s="237"/>
      <c r="N292" s="237"/>
      <c r="O292" s="237"/>
      <c r="P292" s="237"/>
      <c r="Q292" s="237"/>
      <c r="R292" s="237"/>
      <c r="S292" s="237"/>
      <c r="T292" s="237"/>
      <c r="U292" s="237"/>
    </row>
    <row r="293" spans="2:21">
      <c r="B293" s="241"/>
      <c r="C293" s="242"/>
      <c r="D293" s="237" t="s">
        <v>478</v>
      </c>
      <c r="E293" s="237"/>
      <c r="F293" s="237"/>
      <c r="G293" s="237"/>
      <c r="H293" s="237"/>
      <c r="I293" s="237"/>
      <c r="J293" s="237"/>
      <c r="K293" s="237"/>
      <c r="L293" s="237"/>
      <c r="M293" s="237"/>
      <c r="N293" s="237"/>
      <c r="O293" s="237"/>
      <c r="P293" s="237"/>
      <c r="Q293" s="237"/>
      <c r="R293" s="237"/>
      <c r="S293" s="237"/>
      <c r="T293" s="237"/>
      <c r="U293" s="237"/>
    </row>
    <row r="294" spans="2:21">
      <c r="B294" s="241"/>
      <c r="C294" s="242"/>
      <c r="D294" s="237" t="s">
        <v>371</v>
      </c>
      <c r="E294" s="237"/>
      <c r="F294" s="237"/>
      <c r="G294" s="237"/>
      <c r="H294" s="237"/>
      <c r="I294" s="237"/>
      <c r="J294" s="237"/>
      <c r="K294" s="237"/>
      <c r="L294" s="237"/>
      <c r="M294" s="237"/>
      <c r="N294" s="237"/>
      <c r="O294" s="237"/>
      <c r="P294" s="237"/>
      <c r="Q294" s="237"/>
      <c r="R294" s="237"/>
      <c r="S294" s="237"/>
      <c r="T294" s="237"/>
      <c r="U294" s="237"/>
    </row>
    <row r="295" spans="2:21">
      <c r="B295" s="241"/>
      <c r="C295" s="242"/>
      <c r="D295" s="237" t="s">
        <v>372</v>
      </c>
      <c r="E295" s="237"/>
      <c r="F295" s="237"/>
      <c r="G295" s="237"/>
      <c r="H295" s="237"/>
      <c r="I295" s="237"/>
      <c r="J295" s="237"/>
      <c r="K295" s="237"/>
      <c r="L295" s="237"/>
      <c r="M295" s="237"/>
      <c r="N295" s="237"/>
      <c r="O295" s="237"/>
      <c r="P295" s="237"/>
      <c r="Q295" s="237"/>
      <c r="R295" s="237"/>
      <c r="S295" s="237"/>
      <c r="T295" s="237"/>
      <c r="U295" s="237"/>
    </row>
    <row r="296" spans="2:21" ht="45" customHeight="1">
      <c r="B296" s="241"/>
      <c r="C296" s="242"/>
      <c r="D296" s="1240" t="s">
        <v>574</v>
      </c>
      <c r="E296" s="1240"/>
      <c r="F296" s="1240"/>
      <c r="G296" s="1240"/>
      <c r="H296" s="1240"/>
      <c r="I296" s="1240"/>
      <c r="J296" s="1240"/>
      <c r="K296" s="1240"/>
      <c r="L296" s="1240"/>
      <c r="M296" s="237"/>
      <c r="N296" s="237"/>
      <c r="O296" s="237"/>
      <c r="P296" s="237"/>
      <c r="Q296" s="237"/>
      <c r="R296" s="237"/>
      <c r="S296" s="237"/>
      <c r="T296" s="237"/>
      <c r="U296" s="237"/>
    </row>
    <row r="297" spans="2:21">
      <c r="B297" s="241"/>
      <c r="C297" s="242"/>
      <c r="D297" s="237" t="s">
        <v>486</v>
      </c>
      <c r="E297" s="237"/>
      <c r="F297" s="237"/>
      <c r="G297" s="237"/>
      <c r="H297" s="237"/>
      <c r="I297" s="237"/>
      <c r="J297" s="237"/>
      <c r="K297" s="237"/>
      <c r="L297" s="237"/>
      <c r="M297" s="237"/>
      <c r="N297" s="237"/>
      <c r="O297" s="237"/>
      <c r="P297" s="237"/>
      <c r="Q297" s="237"/>
      <c r="R297" s="237"/>
      <c r="S297" s="237"/>
      <c r="T297" s="237"/>
      <c r="U297" s="237"/>
    </row>
    <row r="298" spans="2:21">
      <c r="B298" s="241"/>
      <c r="C298" s="242"/>
      <c r="D298" s="11"/>
      <c r="E298" s="237"/>
      <c r="F298" s="237"/>
      <c r="G298" s="237"/>
      <c r="H298" s="237"/>
      <c r="I298" s="237"/>
      <c r="J298" s="237"/>
      <c r="K298" s="237"/>
      <c r="L298" s="237"/>
      <c r="M298" s="237"/>
      <c r="N298" s="237"/>
      <c r="O298" s="237"/>
      <c r="P298" s="237"/>
      <c r="Q298" s="237"/>
      <c r="R298" s="237"/>
      <c r="S298" s="237"/>
      <c r="T298" s="237"/>
      <c r="U298" s="237"/>
    </row>
    <row r="299" spans="2:21" ht="15" customHeight="1">
      <c r="B299" s="241" t="s">
        <v>149</v>
      </c>
      <c r="C299" s="242"/>
      <c r="D299" s="1231" t="s">
        <v>592</v>
      </c>
      <c r="E299" s="1233"/>
      <c r="F299" s="1233"/>
      <c r="G299" s="1233"/>
      <c r="H299" s="1233"/>
      <c r="I299" s="1233"/>
      <c r="J299" s="1233"/>
      <c r="K299" s="1233"/>
      <c r="L299" s="237"/>
      <c r="M299" s="237"/>
      <c r="N299" s="237"/>
      <c r="O299" s="237"/>
      <c r="P299" s="237"/>
      <c r="Q299" s="237"/>
      <c r="R299" s="237"/>
      <c r="S299" s="237"/>
      <c r="T299" s="237"/>
      <c r="U299" s="237"/>
    </row>
    <row r="300" spans="2:21">
      <c r="B300" s="241"/>
      <c r="C300" s="242"/>
      <c r="D300" s="1233"/>
      <c r="E300" s="1233"/>
      <c r="F300" s="1233"/>
      <c r="G300" s="1233"/>
      <c r="H300" s="1233"/>
      <c r="I300" s="1233"/>
      <c r="J300" s="1233"/>
      <c r="K300" s="1233"/>
      <c r="L300" s="237"/>
      <c r="M300" s="237"/>
      <c r="N300" s="237"/>
      <c r="O300" s="237"/>
      <c r="P300" s="237"/>
      <c r="Q300" s="237"/>
      <c r="R300" s="237"/>
      <c r="S300" s="237"/>
      <c r="T300" s="237"/>
      <c r="U300" s="237"/>
    </row>
    <row r="301" spans="2:21">
      <c r="E301" s="237"/>
      <c r="F301" s="237"/>
      <c r="G301" s="237"/>
      <c r="H301" s="237"/>
      <c r="I301" s="237"/>
      <c r="J301" s="237"/>
      <c r="K301" s="237"/>
      <c r="L301" s="237"/>
      <c r="M301" s="237"/>
      <c r="N301" s="237"/>
      <c r="O301" s="237"/>
      <c r="P301" s="237"/>
      <c r="Q301" s="237"/>
      <c r="R301" s="237"/>
      <c r="S301" s="237"/>
      <c r="T301" s="237"/>
      <c r="U301" s="237"/>
    </row>
    <row r="302" spans="2:21">
      <c r="B302" s="241" t="s">
        <v>150</v>
      </c>
      <c r="C302" s="242"/>
      <c r="D302" s="11" t="s">
        <v>856</v>
      </c>
      <c r="E302" s="237"/>
      <c r="F302" s="237"/>
      <c r="G302" s="237"/>
      <c r="H302" s="237"/>
      <c r="I302" s="237"/>
      <c r="J302" s="237"/>
      <c r="K302" s="237"/>
      <c r="L302" s="237"/>
      <c r="M302" s="237"/>
      <c r="N302" s="237"/>
      <c r="O302" s="237"/>
      <c r="P302" s="237"/>
      <c r="Q302" s="237"/>
      <c r="R302" s="237"/>
      <c r="S302" s="237"/>
      <c r="T302" s="237"/>
      <c r="U302" s="237"/>
    </row>
    <row r="303" spans="2:21">
      <c r="B303" s="241"/>
      <c r="C303" s="242"/>
      <c r="D303" s="11"/>
      <c r="E303" s="237"/>
      <c r="F303" s="237"/>
      <c r="G303" s="237"/>
      <c r="H303" s="237"/>
      <c r="I303" s="237"/>
      <c r="J303" s="237"/>
      <c r="K303" s="237"/>
      <c r="L303" s="237"/>
      <c r="M303" s="237"/>
      <c r="N303" s="237"/>
      <c r="O303" s="237"/>
      <c r="P303" s="237"/>
      <c r="Q303" s="237"/>
      <c r="R303" s="237"/>
      <c r="S303" s="237"/>
      <c r="T303" s="237"/>
      <c r="U303" s="237"/>
    </row>
    <row r="304" spans="2:21">
      <c r="B304" s="241" t="s">
        <v>151</v>
      </c>
      <c r="C304" s="242"/>
      <c r="D304" s="1240" t="s">
        <v>576</v>
      </c>
      <c r="E304" s="1240"/>
      <c r="F304" s="1240"/>
      <c r="G304" s="1240"/>
      <c r="H304" s="1240"/>
      <c r="I304" s="1240"/>
      <c r="J304" s="1240"/>
      <c r="K304" s="1240"/>
      <c r="L304" s="1240"/>
      <c r="M304" s="237"/>
      <c r="N304" s="237"/>
      <c r="O304" s="237"/>
      <c r="P304" s="237"/>
      <c r="Q304" s="237"/>
      <c r="R304" s="237"/>
      <c r="S304" s="237"/>
      <c r="T304" s="237"/>
      <c r="U304" s="237"/>
    </row>
    <row r="305" spans="2:21">
      <c r="B305" s="241"/>
      <c r="C305" s="242"/>
      <c r="D305" s="1240"/>
      <c r="E305" s="1240"/>
      <c r="F305" s="1240"/>
      <c r="G305" s="1240"/>
      <c r="H305" s="1240"/>
      <c r="I305" s="1240"/>
      <c r="J305" s="1240"/>
      <c r="K305" s="1240"/>
      <c r="L305" s="1240"/>
      <c r="M305" s="237"/>
      <c r="N305" s="237"/>
      <c r="O305" s="237"/>
      <c r="P305" s="237"/>
      <c r="Q305" s="237"/>
      <c r="R305" s="237"/>
      <c r="S305" s="237"/>
      <c r="T305" s="237"/>
      <c r="U305" s="237"/>
    </row>
    <row r="306" spans="2:21">
      <c r="B306" s="241"/>
      <c r="C306" s="242"/>
      <c r="D306" s="237" t="s">
        <v>577</v>
      </c>
      <c r="E306" s="237"/>
      <c r="F306" s="237"/>
      <c r="G306" s="237"/>
      <c r="H306" s="237"/>
      <c r="I306" s="237"/>
      <c r="J306" s="237"/>
      <c r="K306" s="237"/>
      <c r="L306" s="237"/>
      <c r="M306" s="237"/>
      <c r="N306" s="237"/>
      <c r="O306" s="237"/>
      <c r="P306" s="237"/>
      <c r="Q306" s="237"/>
      <c r="R306" s="237"/>
      <c r="S306" s="237"/>
      <c r="T306" s="237"/>
      <c r="U306" s="237"/>
    </row>
    <row r="307" spans="2:21">
      <c r="B307" s="241"/>
      <c r="C307" s="242"/>
      <c r="D307" s="237" t="s">
        <v>578</v>
      </c>
      <c r="E307" s="237"/>
      <c r="F307" s="237"/>
      <c r="G307" s="237"/>
      <c r="H307" s="237"/>
      <c r="I307" s="237"/>
      <c r="J307" s="237"/>
      <c r="K307" s="237"/>
      <c r="L307" s="237"/>
      <c r="M307" s="237"/>
      <c r="N307" s="237"/>
      <c r="O307" s="237"/>
      <c r="P307" s="237"/>
      <c r="Q307" s="237"/>
      <c r="R307" s="237"/>
      <c r="S307" s="237"/>
      <c r="T307" s="237"/>
      <c r="U307" s="237"/>
    </row>
    <row r="308" spans="2:21" ht="30" customHeight="1">
      <c r="B308" s="241"/>
      <c r="C308" s="242"/>
      <c r="D308" s="1240" t="s">
        <v>575</v>
      </c>
      <c r="E308" s="1240"/>
      <c r="F308" s="1240"/>
      <c r="G308" s="1240"/>
      <c r="H308" s="1240"/>
      <c r="I308" s="1240"/>
      <c r="J308" s="1240"/>
      <c r="K308" s="1240"/>
      <c r="L308" s="1240"/>
      <c r="M308" s="237"/>
      <c r="N308" s="237"/>
      <c r="O308" s="237"/>
      <c r="P308" s="237"/>
      <c r="Q308" s="237"/>
      <c r="R308" s="237"/>
      <c r="S308" s="237"/>
      <c r="T308" s="237"/>
      <c r="U308" s="237"/>
    </row>
    <row r="309" spans="2:21" ht="21.75" customHeight="1">
      <c r="B309" s="241" t="s">
        <v>152</v>
      </c>
      <c r="C309" s="237"/>
      <c r="D309" s="237"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3"/>
      <c r="F309" s="3"/>
      <c r="G309" s="3"/>
      <c r="H309" s="3"/>
      <c r="I309" s="3"/>
      <c r="J309" s="3"/>
      <c r="K309" s="3"/>
      <c r="L309" s="3"/>
      <c r="M309" s="237"/>
      <c r="N309" s="237"/>
      <c r="O309" s="237"/>
      <c r="P309" s="237"/>
      <c r="Q309" s="237"/>
      <c r="R309" s="237"/>
      <c r="S309" s="237"/>
      <c r="T309" s="237"/>
      <c r="U309" s="237"/>
    </row>
    <row r="310" spans="2:21">
      <c r="B310" s="241"/>
      <c r="C310" s="237"/>
      <c r="D310" s="359"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67"/>
      <c r="F310" s="67"/>
      <c r="G310" s="67"/>
      <c r="H310" s="67"/>
      <c r="I310" s="67"/>
      <c r="J310" s="67"/>
      <c r="K310" s="67"/>
      <c r="L310" s="67"/>
      <c r="M310" s="237"/>
      <c r="N310" s="237"/>
      <c r="O310" s="237"/>
      <c r="P310" s="237"/>
      <c r="Q310" s="237"/>
      <c r="R310" s="237"/>
      <c r="S310" s="237"/>
      <c r="T310" s="237"/>
      <c r="U310" s="237"/>
    </row>
    <row r="311" spans="2:21">
      <c r="B311" s="241"/>
      <c r="C311" s="237"/>
      <c r="D311" s="360" t="str">
        <f>+"2)  Costs of Transmission of Electricity by Others, as described in Note H."</f>
        <v>2)  Costs of Transmission of Electricity by Others, as described in Note H.</v>
      </c>
      <c r="E311" s="3"/>
      <c r="F311" s="3"/>
      <c r="G311" s="3"/>
      <c r="H311" s="3"/>
      <c r="I311" s="3"/>
      <c r="J311" s="3"/>
      <c r="K311" s="3"/>
      <c r="L311" s="3"/>
      <c r="M311" s="237"/>
      <c r="N311" s="237"/>
      <c r="O311" s="237"/>
      <c r="P311" s="237"/>
      <c r="Q311" s="237"/>
      <c r="R311" s="237"/>
      <c r="S311" s="237"/>
      <c r="T311" s="237"/>
      <c r="U311" s="237"/>
    </row>
    <row r="312" spans="2:21">
      <c r="B312" s="241"/>
      <c r="C312" s="237"/>
      <c r="D312" s="359" t="str">
        <f>+"3)  The impact of state regulatory deferrals and amortizations, as shown on line  "&amp;B154&amp;""</f>
        <v>3)  The impact of state regulatory deferrals and amortizations, as shown on line  77</v>
      </c>
      <c r="E312" s="67"/>
      <c r="F312" s="67"/>
      <c r="G312" s="67"/>
      <c r="H312" s="67"/>
      <c r="I312" s="67"/>
      <c r="J312" s="67"/>
      <c r="K312" s="67"/>
      <c r="L312" s="67"/>
      <c r="M312" s="237"/>
      <c r="N312" s="237"/>
      <c r="O312" s="237"/>
      <c r="P312" s="237"/>
      <c r="Q312" s="237"/>
      <c r="R312" s="237"/>
      <c r="S312" s="237"/>
      <c r="T312" s="237"/>
      <c r="U312" s="237"/>
    </row>
    <row r="313" spans="2:21">
      <c r="B313" s="241"/>
      <c r="C313" s="67"/>
      <c r="D313" s="360" t="str">
        <f>"4) All A&amp;G Expenses, as shown on line "&amp;B172&amp;"."</f>
        <v>4) All A&amp;G Expenses, as shown on line 93.</v>
      </c>
      <c r="E313" s="3"/>
      <c r="F313" s="3"/>
      <c r="G313" s="3"/>
      <c r="H313" s="3"/>
      <c r="I313" s="3"/>
      <c r="J313" s="3"/>
      <c r="K313" s="3"/>
      <c r="L313" s="3"/>
      <c r="M313" s="237"/>
      <c r="N313" s="237"/>
      <c r="O313" s="237"/>
      <c r="P313" s="237"/>
      <c r="Q313" s="237"/>
      <c r="R313" s="237"/>
      <c r="S313" s="237"/>
      <c r="T313" s="237"/>
      <c r="U313" s="237"/>
    </row>
    <row r="314" spans="2:21">
      <c r="B314" s="241"/>
      <c r="C314" s="242"/>
      <c r="D314" s="359"/>
      <c r="E314" s="359"/>
      <c r="F314" s="359"/>
      <c r="G314" s="359"/>
      <c r="H314" s="359"/>
      <c r="I314" s="359"/>
      <c r="J314" s="359"/>
      <c r="K314" s="359"/>
      <c r="L314" s="359"/>
      <c r="M314" s="237"/>
      <c r="N314" s="237"/>
      <c r="O314" s="237"/>
      <c r="P314" s="237"/>
      <c r="Q314" s="237"/>
      <c r="R314" s="237"/>
      <c r="S314" s="237"/>
      <c r="T314" s="237"/>
      <c r="U314" s="237"/>
    </row>
    <row r="315" spans="2:21">
      <c r="B315" s="358" t="s">
        <v>153</v>
      </c>
      <c r="C315" s="306"/>
      <c r="D315" s="361"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61"/>
      <c r="F315" s="361"/>
      <c r="G315" s="361"/>
      <c r="H315" s="361"/>
      <c r="I315" s="361"/>
      <c r="J315" s="361"/>
      <c r="K315" s="361"/>
      <c r="L315" s="361"/>
      <c r="M315" s="237"/>
      <c r="N315" s="237"/>
      <c r="O315" s="237"/>
      <c r="P315" s="237"/>
      <c r="Q315" s="237"/>
      <c r="R315" s="237"/>
      <c r="S315" s="237"/>
      <c r="T315" s="237"/>
      <c r="U315" s="237"/>
    </row>
    <row r="316" spans="2:21">
      <c r="D316" s="361" t="s">
        <v>218</v>
      </c>
      <c r="E316" s="361"/>
      <c r="F316" s="361"/>
      <c r="G316" s="361"/>
      <c r="H316" s="361"/>
      <c r="I316" s="361"/>
      <c r="J316" s="361"/>
      <c r="K316" s="361"/>
      <c r="L316" s="361"/>
      <c r="M316" s="237"/>
      <c r="N316" s="237"/>
      <c r="O316" s="237"/>
      <c r="P316" s="237"/>
      <c r="Q316" s="237"/>
      <c r="R316" s="237"/>
      <c r="S316" s="237"/>
      <c r="T316" s="237"/>
      <c r="U316" s="237"/>
    </row>
    <row r="317" spans="2:21">
      <c r="D317" s="361" t="str">
        <f>"expense is included on line "&amp;B215&amp;"."</f>
        <v>expense is included on line 127.</v>
      </c>
      <c r="E317" s="361"/>
      <c r="F317" s="361"/>
      <c r="G317" s="361"/>
      <c r="H317" s="361"/>
      <c r="I317" s="361"/>
      <c r="J317" s="361"/>
      <c r="K317" s="361"/>
      <c r="L317" s="361"/>
      <c r="M317" s="237"/>
      <c r="N317" s="237"/>
      <c r="O317" s="237"/>
      <c r="P317" s="237"/>
      <c r="Q317" s="237"/>
      <c r="R317" s="237"/>
      <c r="S317" s="237"/>
      <c r="T317" s="237"/>
      <c r="U317" s="237"/>
    </row>
    <row r="318" spans="2:21">
      <c r="D318" s="361"/>
      <c r="E318" s="361"/>
      <c r="F318" s="361"/>
      <c r="G318" s="361"/>
      <c r="H318" s="361"/>
      <c r="I318" s="361"/>
      <c r="J318" s="361"/>
      <c r="K318" s="361"/>
      <c r="L318" s="361"/>
      <c r="N318" s="237"/>
      <c r="O318" s="237"/>
      <c r="P318" s="237"/>
      <c r="Q318" s="237"/>
      <c r="R318" s="237"/>
      <c r="S318" s="237"/>
      <c r="T318" s="237"/>
      <c r="U318" s="237"/>
    </row>
    <row r="319" spans="2:21">
      <c r="B319" s="358" t="s">
        <v>154</v>
      </c>
      <c r="D319" s="1235"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35"/>
      <c r="F319" s="1235"/>
      <c r="G319" s="1235"/>
      <c r="H319" s="1235"/>
      <c r="I319" s="1235"/>
      <c r="J319" s="1235"/>
      <c r="K319" s="1235"/>
      <c r="L319" s="361"/>
      <c r="N319" s="237"/>
      <c r="O319" s="237"/>
      <c r="P319" s="237"/>
      <c r="Q319" s="237"/>
      <c r="R319" s="237"/>
      <c r="S319" s="237"/>
      <c r="T319" s="237"/>
      <c r="U319" s="237"/>
    </row>
    <row r="320" spans="2:21">
      <c r="B320" s="358"/>
      <c r="D320" s="1235"/>
      <c r="E320" s="1235"/>
      <c r="F320" s="1235"/>
      <c r="G320" s="1235"/>
      <c r="H320" s="1235"/>
      <c r="I320" s="1235"/>
      <c r="J320" s="1235"/>
      <c r="K320" s="1235"/>
      <c r="L320" s="361"/>
      <c r="N320" s="237"/>
      <c r="O320" s="237"/>
      <c r="P320" s="237"/>
      <c r="Q320" s="237"/>
      <c r="R320" s="237"/>
      <c r="S320" s="237"/>
      <c r="T320" s="237"/>
      <c r="U320" s="237"/>
    </row>
    <row r="321" spans="2:21">
      <c r="B321" s="358"/>
      <c r="D321" s="1235"/>
      <c r="E321" s="1235"/>
      <c r="F321" s="1235"/>
      <c r="G321" s="1235"/>
      <c r="H321" s="1235"/>
      <c r="I321" s="1235"/>
      <c r="J321" s="1235"/>
      <c r="K321" s="1235"/>
      <c r="L321" s="361"/>
      <c r="N321" s="237"/>
      <c r="O321" s="237"/>
      <c r="P321" s="237"/>
      <c r="Q321" s="237"/>
      <c r="R321" s="237"/>
      <c r="S321" s="237"/>
      <c r="T321" s="237"/>
      <c r="U321" s="237"/>
    </row>
    <row r="322" spans="2:21">
      <c r="B322" s="358"/>
      <c r="D322" s="359"/>
      <c r="E322" s="361"/>
      <c r="F322" s="361"/>
      <c r="G322" s="361"/>
      <c r="H322" s="361"/>
      <c r="I322" s="361"/>
      <c r="J322" s="361"/>
      <c r="K322" s="361"/>
      <c r="L322" s="361"/>
      <c r="N322" s="237"/>
      <c r="O322" s="237"/>
      <c r="P322" s="237"/>
      <c r="Q322" s="237"/>
      <c r="R322" s="237"/>
      <c r="S322" s="237"/>
      <c r="T322" s="237"/>
      <c r="U322" s="237"/>
    </row>
    <row r="323" spans="2:21">
      <c r="B323" s="358" t="s">
        <v>155</v>
      </c>
      <c r="D323" s="1242"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42"/>
      <c r="F323" s="1242"/>
      <c r="G323" s="1242"/>
      <c r="H323" s="1242"/>
      <c r="I323" s="1242"/>
      <c r="J323" s="1242"/>
      <c r="K323" s="1242"/>
      <c r="L323" s="361"/>
      <c r="N323" s="237"/>
      <c r="O323" s="237"/>
      <c r="P323" s="237"/>
      <c r="Q323" s="237"/>
      <c r="R323" s="237"/>
      <c r="S323" s="237"/>
      <c r="T323" s="237"/>
      <c r="U323" s="237"/>
    </row>
    <row r="324" spans="2:21">
      <c r="B324" s="358"/>
      <c r="D324" s="1242"/>
      <c r="E324" s="1242"/>
      <c r="F324" s="1242"/>
      <c r="G324" s="1242"/>
      <c r="H324" s="1242"/>
      <c r="I324" s="1242"/>
      <c r="J324" s="1242"/>
      <c r="K324" s="1242"/>
      <c r="L324" s="361"/>
      <c r="N324" s="237"/>
      <c r="O324" s="237"/>
      <c r="P324" s="237"/>
      <c r="Q324" s="237"/>
      <c r="R324" s="237"/>
      <c r="S324" s="237"/>
      <c r="T324" s="237"/>
      <c r="U324" s="237"/>
    </row>
    <row r="325" spans="2:21">
      <c r="B325" s="358"/>
      <c r="D325" s="1243"/>
      <c r="E325" s="1243"/>
      <c r="F325" s="1243"/>
      <c r="G325" s="1243"/>
      <c r="H325" s="1243"/>
      <c r="I325" s="1243"/>
      <c r="J325" s="1243"/>
      <c r="K325" s="1243"/>
      <c r="L325" s="361"/>
      <c r="N325" s="237"/>
      <c r="O325" s="237"/>
      <c r="P325" s="237"/>
      <c r="Q325" s="237"/>
      <c r="R325" s="237"/>
      <c r="S325" s="237"/>
      <c r="T325" s="237"/>
      <c r="U325" s="237"/>
    </row>
    <row r="326" spans="2:21">
      <c r="B326" s="358"/>
      <c r="D326" s="1228"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28"/>
      <c r="F326" s="1228"/>
      <c r="G326" s="1228"/>
      <c r="H326" s="1228"/>
      <c r="I326" s="1228"/>
      <c r="J326" s="1228"/>
      <c r="K326" s="362"/>
      <c r="L326" s="361"/>
      <c r="N326" s="237"/>
      <c r="O326" s="237"/>
      <c r="P326" s="237"/>
      <c r="Q326" s="237"/>
      <c r="R326" s="237"/>
      <c r="S326" s="237"/>
      <c r="T326" s="237"/>
      <c r="U326" s="237"/>
    </row>
    <row r="327" spans="2:21">
      <c r="B327" s="358"/>
      <c r="D327" s="1228"/>
      <c r="E327" s="1228"/>
      <c r="F327" s="1228"/>
      <c r="G327" s="1228"/>
      <c r="H327" s="1228"/>
      <c r="I327" s="1228"/>
      <c r="J327" s="1228"/>
      <c r="K327" s="362"/>
      <c r="L327" s="361"/>
      <c r="N327" s="237"/>
      <c r="O327" s="237"/>
      <c r="P327" s="237"/>
      <c r="Q327" s="237"/>
      <c r="R327" s="237"/>
      <c r="S327" s="237"/>
      <c r="T327" s="237"/>
      <c r="U327" s="237"/>
    </row>
    <row r="328" spans="2:21">
      <c r="B328" s="358"/>
      <c r="D328" s="361" t="str">
        <f>"The company records referenced on line "&amp;B175&amp;" is the "&amp;F9&amp;" general ledger."</f>
        <v>The company records referenced on line 95 is the WHEELING POWER COMPANY general ledger.</v>
      </c>
      <c r="E328" s="363"/>
      <c r="F328" s="363"/>
      <c r="G328" s="363"/>
      <c r="H328" s="363"/>
      <c r="I328" s="363"/>
      <c r="J328" s="363"/>
      <c r="K328" s="363"/>
      <c r="L328" s="361"/>
      <c r="N328" s="237"/>
      <c r="O328" s="237"/>
      <c r="P328" s="237"/>
      <c r="Q328" s="237"/>
      <c r="R328" s="237"/>
      <c r="S328" s="237"/>
      <c r="T328" s="237"/>
      <c r="U328" s="237"/>
    </row>
    <row r="329" spans="2:21">
      <c r="B329" s="358"/>
      <c r="D329" s="361"/>
      <c r="E329" s="363"/>
      <c r="F329" s="363"/>
      <c r="G329" s="363"/>
      <c r="H329" s="363"/>
      <c r="I329" s="363"/>
      <c r="J329" s="363"/>
      <c r="K329" s="363"/>
      <c r="L329" s="361"/>
      <c r="N329" s="237"/>
      <c r="O329" s="237"/>
      <c r="P329" s="237"/>
      <c r="Q329" s="237"/>
      <c r="R329" s="237"/>
      <c r="S329" s="237"/>
      <c r="T329" s="237"/>
      <c r="U329" s="237"/>
    </row>
    <row r="330" spans="2:21">
      <c r="B330" s="358" t="s">
        <v>156</v>
      </c>
      <c r="D330" s="233" t="s">
        <v>579</v>
      </c>
      <c r="E330" s="67"/>
      <c r="F330" s="67"/>
      <c r="G330" s="67"/>
      <c r="H330" s="67"/>
      <c r="I330" s="67"/>
      <c r="J330" s="67"/>
      <c r="K330" s="67"/>
      <c r="L330" s="364"/>
      <c r="N330" s="237"/>
      <c r="O330" s="237"/>
      <c r="P330" s="237"/>
      <c r="Q330" s="237"/>
      <c r="R330" s="237"/>
      <c r="S330" s="237"/>
      <c r="T330" s="237"/>
      <c r="U330" s="237"/>
    </row>
    <row r="331" spans="2:21">
      <c r="B331" s="358"/>
      <c r="D331" s="364"/>
      <c r="E331" s="364"/>
      <c r="F331" s="364"/>
      <c r="G331" s="364"/>
      <c r="H331" s="364"/>
      <c r="I331" s="364"/>
      <c r="J331" s="364"/>
      <c r="K331" s="364"/>
      <c r="L331" s="364"/>
      <c r="N331" s="237"/>
      <c r="O331" s="237"/>
      <c r="P331" s="237"/>
      <c r="Q331" s="237"/>
      <c r="R331" s="237"/>
      <c r="S331" s="237"/>
      <c r="T331" s="237"/>
      <c r="U331" s="237"/>
    </row>
    <row r="332" spans="2:21">
      <c r="B332" s="358" t="s">
        <v>157</v>
      </c>
      <c r="D332" s="1232" t="s">
        <v>48</v>
      </c>
      <c r="E332" s="1233"/>
      <c r="F332" s="1233"/>
      <c r="G332" s="1233"/>
      <c r="H332" s="1233"/>
      <c r="I332" s="1233"/>
      <c r="J332" s="1233"/>
      <c r="K332" s="361"/>
      <c r="L332" s="361"/>
      <c r="N332" s="237"/>
      <c r="O332" s="237"/>
      <c r="P332" s="237"/>
      <c r="Q332" s="237"/>
      <c r="R332" s="237"/>
      <c r="S332" s="237"/>
      <c r="T332" s="237"/>
      <c r="U332" s="237"/>
    </row>
    <row r="333" spans="2:21">
      <c r="B333" s="358"/>
      <c r="D333" s="1234"/>
      <c r="E333" s="1234"/>
      <c r="F333" s="1234"/>
      <c r="G333" s="1234"/>
      <c r="H333" s="1234"/>
      <c r="I333" s="1234"/>
      <c r="J333" s="1234"/>
      <c r="K333" s="364"/>
      <c r="L333" s="364"/>
      <c r="N333" s="237"/>
      <c r="O333" s="237"/>
      <c r="P333" s="237"/>
      <c r="Q333" s="237"/>
      <c r="R333" s="237"/>
      <c r="S333" s="237"/>
      <c r="T333" s="237"/>
      <c r="U333" s="237"/>
    </row>
    <row r="334" spans="2:21">
      <c r="B334" s="358"/>
      <c r="D334" s="1233"/>
      <c r="E334" s="1233"/>
      <c r="F334" s="1233"/>
      <c r="G334" s="1233"/>
      <c r="H334" s="1233"/>
      <c r="I334" s="1233"/>
      <c r="J334" s="1233"/>
      <c r="K334" s="361"/>
      <c r="L334" s="361"/>
      <c r="N334" s="237"/>
      <c r="O334" s="237"/>
      <c r="P334" s="237"/>
      <c r="Q334" s="237"/>
      <c r="R334" s="237"/>
      <c r="S334" s="237"/>
      <c r="T334" s="237"/>
      <c r="U334" s="237"/>
    </row>
    <row r="335" spans="2:21">
      <c r="B335" s="358"/>
      <c r="D335" s="361"/>
      <c r="E335" s="361"/>
      <c r="F335" s="361"/>
      <c r="G335" s="361"/>
      <c r="H335" s="361"/>
      <c r="I335" s="361"/>
      <c r="J335" s="361"/>
      <c r="K335" s="361"/>
      <c r="L335" s="361"/>
      <c r="N335" s="237"/>
      <c r="O335" s="237"/>
      <c r="P335" s="237"/>
      <c r="Q335" s="237"/>
      <c r="R335" s="237"/>
      <c r="S335" s="237"/>
      <c r="T335" s="237"/>
      <c r="U335" s="237"/>
    </row>
    <row r="336" spans="2:21" ht="15.75">
      <c r="B336" s="809" t="s">
        <v>158</v>
      </c>
      <c r="C336" s="810"/>
      <c r="D336" s="1226" t="s">
        <v>851</v>
      </c>
      <c r="E336" s="1227"/>
      <c r="F336" s="1227"/>
      <c r="G336" s="1227"/>
      <c r="H336" s="1227"/>
      <c r="I336" s="1227"/>
      <c r="J336" s="1227"/>
      <c r="K336" s="1227"/>
      <c r="L336" s="364"/>
      <c r="N336" s="237"/>
      <c r="O336" s="237"/>
      <c r="P336" s="237"/>
      <c r="Q336" s="237"/>
      <c r="R336" s="237"/>
      <c r="S336" s="237"/>
      <c r="T336" s="237"/>
      <c r="U336" s="237"/>
    </row>
    <row r="337" spans="2:21" ht="15.75">
      <c r="B337" s="782"/>
      <c r="C337" s="810"/>
      <c r="D337" s="1227"/>
      <c r="E337" s="1227"/>
      <c r="F337" s="1227"/>
      <c r="G337" s="1227"/>
      <c r="H337" s="1227"/>
      <c r="I337" s="1227"/>
      <c r="J337" s="1227"/>
      <c r="K337" s="1227"/>
      <c r="L337" s="361"/>
      <c r="N337" s="237"/>
      <c r="O337" s="237"/>
      <c r="P337" s="237"/>
      <c r="Q337" s="237"/>
      <c r="R337" s="237"/>
      <c r="S337" s="237"/>
      <c r="T337" s="237"/>
      <c r="U337" s="237"/>
    </row>
    <row r="338" spans="2:21">
      <c r="B338" s="358"/>
      <c r="D338" s="361"/>
      <c r="E338" s="361"/>
      <c r="F338" s="361"/>
      <c r="G338" s="361"/>
      <c r="H338" s="361"/>
      <c r="I338" s="361"/>
      <c r="J338" s="361"/>
      <c r="K338" s="361"/>
      <c r="L338" s="361"/>
      <c r="N338" s="237"/>
      <c r="O338" s="237"/>
      <c r="P338" s="237"/>
      <c r="Q338" s="237"/>
      <c r="R338" s="237"/>
      <c r="S338" s="237"/>
      <c r="T338" s="237"/>
      <c r="U338" s="237"/>
    </row>
    <row r="339" spans="2:21">
      <c r="B339" s="241" t="s">
        <v>159</v>
      </c>
      <c r="C339" s="242"/>
      <c r="D339" s="1240" t="s">
        <v>580</v>
      </c>
      <c r="E339" s="1240"/>
      <c r="F339" s="1240"/>
      <c r="G339" s="1240"/>
      <c r="H339" s="1240"/>
      <c r="I339" s="1240"/>
      <c r="J339" s="1240"/>
      <c r="K339" s="1240"/>
      <c r="L339" s="1240"/>
      <c r="N339" s="237"/>
      <c r="O339" s="237"/>
      <c r="P339" s="237"/>
      <c r="Q339" s="237"/>
      <c r="R339" s="237"/>
      <c r="S339" s="237"/>
      <c r="T339" s="237"/>
      <c r="U339" s="237"/>
    </row>
    <row r="340" spans="2:21">
      <c r="B340" s="241"/>
      <c r="C340" s="242"/>
      <c r="D340" s="1240"/>
      <c r="E340" s="1240"/>
      <c r="F340" s="1240"/>
      <c r="G340" s="1240"/>
      <c r="H340" s="1240"/>
      <c r="I340" s="1240"/>
      <c r="J340" s="1240"/>
      <c r="K340" s="1240"/>
      <c r="L340" s="1240"/>
      <c r="N340" s="237"/>
      <c r="O340" s="237"/>
      <c r="P340" s="237"/>
      <c r="Q340" s="237"/>
      <c r="R340" s="237"/>
      <c r="S340" s="237"/>
      <c r="T340" s="237"/>
      <c r="U340" s="237"/>
    </row>
    <row r="341" spans="2:21">
      <c r="B341" s="241"/>
      <c r="C341" s="242"/>
      <c r="D341" s="1240"/>
      <c r="E341" s="1240"/>
      <c r="F341" s="1240"/>
      <c r="G341" s="1240"/>
      <c r="H341" s="1240"/>
      <c r="I341" s="1240"/>
      <c r="J341" s="1240"/>
      <c r="K341" s="1240"/>
      <c r="L341" s="1240"/>
      <c r="N341" s="237"/>
      <c r="O341" s="237"/>
      <c r="P341" s="237"/>
      <c r="Q341" s="237"/>
      <c r="R341" s="237"/>
      <c r="S341" s="237"/>
      <c r="T341" s="237"/>
      <c r="U341" s="237"/>
    </row>
    <row r="342" spans="2:21">
      <c r="B342" s="241"/>
      <c r="C342" s="242"/>
      <c r="D342" s="1240"/>
      <c r="E342" s="1240"/>
      <c r="F342" s="1240"/>
      <c r="G342" s="1240"/>
      <c r="H342" s="1240"/>
      <c r="I342" s="1240"/>
      <c r="J342" s="1240"/>
      <c r="K342" s="1240"/>
      <c r="L342" s="1240"/>
      <c r="N342" s="237"/>
      <c r="O342" s="237"/>
      <c r="P342" s="237"/>
      <c r="Q342" s="237"/>
      <c r="R342" s="237"/>
      <c r="S342" s="237"/>
      <c r="T342" s="237"/>
      <c r="U342" s="237"/>
    </row>
    <row r="343" spans="2:21">
      <c r="B343" s="241"/>
      <c r="C343" s="242"/>
      <c r="D343" s="361"/>
      <c r="E343" s="359"/>
      <c r="F343" s="359"/>
      <c r="G343" s="359"/>
      <c r="H343" s="359"/>
      <c r="I343" s="359"/>
      <c r="J343" s="359"/>
      <c r="K343" s="359"/>
      <c r="L343" s="359"/>
      <c r="N343" s="237"/>
      <c r="O343" s="237"/>
      <c r="P343" s="237"/>
      <c r="Q343" s="237"/>
      <c r="R343" s="237"/>
      <c r="S343" s="237"/>
      <c r="T343" s="237"/>
      <c r="U343" s="237"/>
    </row>
    <row r="344" spans="2:21" ht="15" customHeight="1">
      <c r="B344" s="241" t="s">
        <v>160</v>
      </c>
      <c r="C344" s="242"/>
      <c r="D344" s="1229" t="s">
        <v>849</v>
      </c>
      <c r="E344" s="1230"/>
      <c r="F344" s="1230"/>
      <c r="G344" s="1230"/>
      <c r="H344" s="1230"/>
      <c r="I344" s="1230"/>
      <c r="J344" s="1230"/>
      <c r="K344" s="1230"/>
      <c r="L344" s="1231"/>
      <c r="N344" s="237"/>
      <c r="O344" s="237"/>
      <c r="P344" s="237"/>
      <c r="Q344" s="237"/>
      <c r="R344" s="237"/>
      <c r="S344" s="237"/>
      <c r="T344" s="237"/>
      <c r="U344" s="237"/>
    </row>
    <row r="345" spans="2:21">
      <c r="B345" s="241"/>
      <c r="C345" s="242"/>
      <c r="D345" s="1230"/>
      <c r="E345" s="1230"/>
      <c r="F345" s="1230"/>
      <c r="G345" s="1230"/>
      <c r="H345" s="1230"/>
      <c r="I345" s="1230"/>
      <c r="J345" s="1230"/>
      <c r="K345" s="1230"/>
      <c r="L345" s="1231"/>
      <c r="N345" s="237"/>
      <c r="O345" s="237"/>
      <c r="P345" s="237"/>
      <c r="Q345" s="237"/>
      <c r="R345" s="237"/>
      <c r="S345" s="237"/>
      <c r="T345" s="237"/>
      <c r="U345" s="237"/>
    </row>
    <row r="346" spans="2:21">
      <c r="B346" s="241"/>
      <c r="C346" s="242"/>
      <c r="D346" s="1231"/>
      <c r="E346" s="1231"/>
      <c r="F346" s="1231"/>
      <c r="G346" s="1231"/>
      <c r="H346" s="1231"/>
      <c r="I346" s="1231"/>
      <c r="J346" s="1231"/>
      <c r="K346" s="1231"/>
      <c r="L346" s="1231"/>
      <c r="N346" s="237"/>
      <c r="O346" s="237"/>
      <c r="P346" s="237"/>
      <c r="Q346" s="237"/>
      <c r="R346" s="237"/>
      <c r="S346" s="237"/>
      <c r="T346" s="237"/>
      <c r="U346" s="237"/>
    </row>
    <row r="347" spans="2:21">
      <c r="B347" s="241"/>
      <c r="C347" s="242"/>
      <c r="D347" s="315"/>
      <c r="E347" s="237"/>
      <c r="F347" s="237"/>
      <c r="G347" s="237"/>
      <c r="H347" s="237"/>
      <c r="I347" s="237"/>
      <c r="J347" s="237"/>
      <c r="K347" s="237"/>
      <c r="L347" s="237"/>
      <c r="N347" s="237"/>
      <c r="O347" s="237"/>
      <c r="P347" s="237"/>
      <c r="Q347" s="237"/>
      <c r="R347" s="237"/>
      <c r="S347" s="237"/>
      <c r="T347" s="237"/>
      <c r="U347" s="237"/>
    </row>
    <row r="348" spans="2:21">
      <c r="B348" s="306" t="s">
        <v>245</v>
      </c>
      <c r="C348" s="242"/>
      <c r="D348" s="237" t="s">
        <v>355</v>
      </c>
      <c r="E348" s="11"/>
      <c r="F348" s="11"/>
      <c r="G348" s="11"/>
      <c r="H348" s="11"/>
      <c r="I348" s="11"/>
      <c r="J348" s="11"/>
      <c r="N348" s="237"/>
      <c r="O348" s="237"/>
      <c r="P348" s="237"/>
      <c r="Q348" s="237"/>
      <c r="R348" s="237"/>
      <c r="S348" s="237"/>
      <c r="T348" s="237"/>
      <c r="U348" s="237"/>
    </row>
    <row r="349" spans="2:21">
      <c r="B349" s="306"/>
      <c r="C349" s="242"/>
      <c r="D349" s="11"/>
      <c r="E349" s="11"/>
      <c r="F349" s="11"/>
      <c r="G349" s="11"/>
      <c r="H349" s="11"/>
      <c r="I349" s="11"/>
      <c r="J349" s="11"/>
      <c r="N349" s="237"/>
      <c r="O349" s="237"/>
      <c r="P349" s="237"/>
      <c r="Q349" s="237"/>
      <c r="R349" s="237"/>
      <c r="S349" s="237"/>
      <c r="T349" s="237"/>
      <c r="U349" s="237"/>
    </row>
    <row r="350" spans="2:21">
      <c r="B350" s="241" t="s">
        <v>304</v>
      </c>
      <c r="C350" s="242"/>
      <c r="D350" s="237" t="s">
        <v>344</v>
      </c>
      <c r="N350" s="237"/>
      <c r="O350" s="237"/>
      <c r="P350" s="237"/>
      <c r="Q350" s="237"/>
      <c r="R350" s="237"/>
      <c r="S350" s="237"/>
      <c r="T350" s="237"/>
      <c r="U350" s="237"/>
    </row>
    <row r="351" spans="2:21">
      <c r="B351" s="306"/>
      <c r="C351" s="242"/>
      <c r="D351" s="237" t="s">
        <v>233</v>
      </c>
      <c r="N351" s="237"/>
      <c r="O351" s="237"/>
      <c r="P351" s="237"/>
      <c r="Q351" s="237"/>
      <c r="R351" s="237"/>
      <c r="S351" s="237"/>
      <c r="T351" s="237"/>
      <c r="U351" s="237"/>
    </row>
    <row r="352" spans="2:21">
      <c r="B352" s="306"/>
      <c r="C352" s="242"/>
      <c r="D352" s="237" t="s">
        <v>234</v>
      </c>
      <c r="N352" s="237"/>
      <c r="O352" s="237"/>
      <c r="P352" s="237"/>
      <c r="Q352" s="237"/>
      <c r="R352" s="237"/>
      <c r="S352" s="237"/>
      <c r="T352" s="237"/>
      <c r="U352" s="237"/>
    </row>
    <row r="353" spans="2:21">
      <c r="B353" s="306"/>
      <c r="C353" s="242"/>
      <c r="D353" s="237" t="s">
        <v>235</v>
      </c>
      <c r="N353" s="237"/>
      <c r="O353" s="237"/>
      <c r="P353" s="237"/>
      <c r="Q353" s="237"/>
      <c r="R353" s="237"/>
      <c r="S353" s="237"/>
      <c r="T353" s="237"/>
      <c r="U353" s="237"/>
    </row>
    <row r="354" spans="2:21">
      <c r="B354" s="241"/>
      <c r="C354" s="242"/>
      <c r="D354" s="237" t="str">
        <f>"(ln "&amp;B202&amp;") multiplied by (1/1-T) .  If the applicable tax rates are zero enter 0."</f>
        <v>(ln 118) multiplied by (1/1-T) .  If the applicable tax rates are zero enter 0.</v>
      </c>
      <c r="N354" s="237"/>
      <c r="O354" s="237"/>
      <c r="P354" s="237"/>
      <c r="Q354" s="237"/>
      <c r="R354" s="237"/>
      <c r="S354" s="237"/>
      <c r="T354" s="237"/>
      <c r="U354" s="237"/>
    </row>
    <row r="355" spans="2:21">
      <c r="B355" s="365"/>
      <c r="C355" s="237"/>
      <c r="D355" s="237" t="s">
        <v>345</v>
      </c>
      <c r="E355" s="237" t="s">
        <v>346</v>
      </c>
      <c r="F355" s="604">
        <v>0.21</v>
      </c>
      <c r="G355" s="237"/>
      <c r="N355" s="237"/>
      <c r="O355" s="237"/>
      <c r="P355" s="237"/>
      <c r="Q355" s="237"/>
      <c r="R355" s="237"/>
      <c r="S355" s="237"/>
      <c r="T355" s="237"/>
      <c r="U355" s="237"/>
    </row>
    <row r="356" spans="2:21">
      <c r="B356" s="365"/>
      <c r="C356" s="237"/>
      <c r="D356" s="237"/>
      <c r="E356" s="237" t="s">
        <v>347</v>
      </c>
      <c r="F356" s="263">
        <f>'WS G  State Tax Rate'!F33</f>
        <v>6.2525999999999998E-2</v>
      </c>
      <c r="G356" s="237" t="s">
        <v>504</v>
      </c>
      <c r="N356" s="237"/>
      <c r="O356" s="237"/>
      <c r="P356" s="237"/>
      <c r="Q356" s="237"/>
      <c r="R356" s="237"/>
      <c r="S356" s="237"/>
      <c r="T356" s="237"/>
      <c r="U356" s="237"/>
    </row>
    <row r="357" spans="2:21">
      <c r="B357" s="365"/>
      <c r="C357" s="237"/>
      <c r="D357" s="237"/>
      <c r="E357" s="237" t="s">
        <v>348</v>
      </c>
      <c r="F357" s="604">
        <v>0</v>
      </c>
      <c r="G357" s="237" t="s">
        <v>349</v>
      </c>
      <c r="N357" s="237"/>
      <c r="O357" s="237"/>
      <c r="P357" s="237"/>
      <c r="Q357" s="237"/>
      <c r="R357" s="237"/>
      <c r="S357" s="237"/>
      <c r="T357" s="237"/>
      <c r="U357" s="237"/>
    </row>
    <row r="358" spans="2:21">
      <c r="B358" s="306"/>
      <c r="C358" s="242"/>
      <c r="D358" s="237" t="s">
        <v>590</v>
      </c>
      <c r="M358" s="237"/>
      <c r="N358" s="237"/>
      <c r="O358" s="237"/>
      <c r="P358" s="237"/>
      <c r="Q358" s="237"/>
      <c r="R358" s="237"/>
      <c r="S358" s="237"/>
      <c r="T358" s="237"/>
      <c r="U358" s="237"/>
    </row>
    <row r="359" spans="2:21">
      <c r="B359" s="306"/>
      <c r="C359" s="242"/>
      <c r="D359" s="237" t="s">
        <v>591</v>
      </c>
      <c r="M359" s="237"/>
      <c r="N359" s="237"/>
      <c r="O359" s="237"/>
      <c r="P359" s="237"/>
      <c r="Q359" s="237"/>
      <c r="R359" s="237"/>
      <c r="S359" s="237"/>
      <c r="T359" s="237"/>
      <c r="U359" s="237"/>
    </row>
    <row r="360" spans="2:21">
      <c r="B360" s="241" t="s">
        <v>350</v>
      </c>
      <c r="C360" s="242"/>
      <c r="D360" s="237" t="s">
        <v>224</v>
      </c>
      <c r="N360" s="237"/>
      <c r="O360" s="237"/>
      <c r="P360" s="237"/>
      <c r="Q360" s="237"/>
      <c r="R360" s="237"/>
      <c r="S360" s="237"/>
      <c r="T360" s="237"/>
      <c r="U360" s="237"/>
    </row>
    <row r="361" spans="2:21">
      <c r="B361" s="233"/>
      <c r="D361" s="237"/>
      <c r="N361" s="237"/>
      <c r="O361" s="237"/>
      <c r="P361" s="237"/>
      <c r="Q361" s="237"/>
      <c r="R361" s="237"/>
      <c r="S361" s="237"/>
      <c r="T361" s="237"/>
      <c r="U361" s="237"/>
    </row>
    <row r="362" spans="2:21">
      <c r="B362" s="241" t="s">
        <v>351</v>
      </c>
      <c r="C362" s="242"/>
      <c r="D362" s="237" t="s">
        <v>22</v>
      </c>
      <c r="N362" s="237"/>
      <c r="O362" s="237"/>
      <c r="P362" s="237"/>
      <c r="Q362" s="237"/>
      <c r="R362" s="237"/>
      <c r="S362" s="237"/>
      <c r="T362" s="237"/>
      <c r="U362" s="237"/>
    </row>
    <row r="363" spans="2:21">
      <c r="B363" s="241"/>
      <c r="C363" s="242"/>
      <c r="D363" s="237"/>
      <c r="E363" s="237"/>
      <c r="F363" s="237"/>
      <c r="G363" s="237"/>
      <c r="H363" s="237"/>
      <c r="I363" s="237"/>
      <c r="J363" s="237"/>
      <c r="K363" s="237"/>
      <c r="L363" s="237"/>
      <c r="M363" s="237"/>
      <c r="N363" s="237"/>
      <c r="O363" s="237"/>
      <c r="P363" s="237"/>
      <c r="Q363" s="237"/>
      <c r="R363" s="237"/>
      <c r="S363" s="237"/>
      <c r="T363" s="237"/>
      <c r="U363" s="237"/>
    </row>
    <row r="364" spans="2:21">
      <c r="B364" s="241" t="s">
        <v>352</v>
      </c>
      <c r="C364" s="242"/>
      <c r="D364" s="237" t="s">
        <v>415</v>
      </c>
      <c r="E364" s="237"/>
      <c r="F364" s="237"/>
      <c r="G364" s="237"/>
      <c r="H364" s="237"/>
      <c r="I364" s="237"/>
      <c r="J364" s="237"/>
      <c r="K364" s="237"/>
      <c r="L364" s="237"/>
      <c r="M364" s="237"/>
      <c r="N364" s="237"/>
      <c r="O364" s="237"/>
      <c r="P364" s="237"/>
      <c r="Q364" s="237"/>
      <c r="R364" s="237"/>
      <c r="S364" s="237"/>
      <c r="T364" s="237"/>
      <c r="U364" s="237"/>
    </row>
    <row r="365" spans="2:21">
      <c r="B365" s="241"/>
      <c r="C365" s="242"/>
      <c r="D365" s="237"/>
      <c r="E365" s="237"/>
      <c r="F365" s="237"/>
      <c r="G365" s="237"/>
      <c r="H365" s="237"/>
      <c r="I365" s="237"/>
      <c r="J365" s="237"/>
      <c r="K365" s="237"/>
      <c r="L365" s="237"/>
      <c r="M365" s="237"/>
      <c r="N365" s="237"/>
      <c r="O365" s="237"/>
      <c r="P365" s="237"/>
      <c r="Q365" s="237"/>
      <c r="R365" s="237"/>
      <c r="S365" s="237"/>
      <c r="T365" s="237"/>
      <c r="U365" s="237"/>
    </row>
    <row r="366" spans="2:21">
      <c r="B366" s="358" t="s">
        <v>353</v>
      </c>
      <c r="C366" s="306"/>
      <c r="D366" s="237" t="s">
        <v>1041</v>
      </c>
      <c r="M366" s="237"/>
      <c r="N366" s="237"/>
      <c r="O366" s="237"/>
      <c r="P366" s="237"/>
      <c r="Q366" s="237"/>
      <c r="R366" s="237"/>
      <c r="S366" s="237"/>
      <c r="T366" s="237"/>
      <c r="U366" s="237"/>
    </row>
    <row r="367" spans="2:21">
      <c r="D367" s="237" t="s">
        <v>1042</v>
      </c>
      <c r="M367" s="237"/>
      <c r="N367" s="237"/>
      <c r="O367" s="237"/>
      <c r="P367" s="237"/>
      <c r="Q367" s="237"/>
      <c r="R367" s="237"/>
      <c r="S367" s="237"/>
      <c r="T367" s="237"/>
      <c r="U367" s="237"/>
    </row>
    <row r="368" spans="2:21" ht="15" customHeight="1">
      <c r="D368" s="1241" t="s">
        <v>1043</v>
      </c>
      <c r="E368" s="1241"/>
      <c r="F368" s="1241"/>
      <c r="G368" s="1241"/>
      <c r="H368" s="1241"/>
      <c r="I368" s="1241"/>
      <c r="J368" s="1241"/>
      <c r="K368" s="1241"/>
      <c r="L368" s="1241"/>
      <c r="M368" s="237"/>
      <c r="N368" s="237"/>
      <c r="O368" s="237"/>
      <c r="P368" s="237"/>
      <c r="Q368" s="237"/>
      <c r="R368" s="237"/>
      <c r="S368" s="237"/>
      <c r="T368" s="237"/>
      <c r="U368" s="237"/>
    </row>
    <row r="369" spans="2:21">
      <c r="D369" s="1241"/>
      <c r="E369" s="1241"/>
      <c r="F369" s="1241"/>
      <c r="G369" s="1241"/>
      <c r="H369" s="1241"/>
      <c r="I369" s="1241"/>
      <c r="J369" s="1241"/>
      <c r="K369" s="1241"/>
      <c r="L369" s="1241"/>
      <c r="M369" s="237"/>
      <c r="N369" s="237"/>
      <c r="O369" s="237"/>
      <c r="P369" s="237"/>
      <c r="Q369" s="237"/>
      <c r="R369" s="237"/>
      <c r="S369" s="237"/>
      <c r="T369" s="237"/>
      <c r="U369" s="237"/>
    </row>
    <row r="370" spans="2:21" ht="14.25" customHeight="1">
      <c r="D370" s="1241"/>
      <c r="E370" s="1241"/>
      <c r="F370" s="1241"/>
      <c r="G370" s="1241"/>
      <c r="H370" s="1241"/>
      <c r="I370" s="1241"/>
      <c r="J370" s="1241"/>
      <c r="K370" s="1241"/>
      <c r="L370" s="1241"/>
      <c r="M370" s="237"/>
      <c r="N370" s="237"/>
      <c r="O370" s="237"/>
      <c r="P370" s="237"/>
      <c r="Q370" s="237"/>
      <c r="R370" s="237"/>
      <c r="S370" s="237"/>
      <c r="T370" s="237"/>
      <c r="U370" s="237"/>
    </row>
    <row r="371" spans="2:21" ht="15" hidden="1" customHeight="1">
      <c r="D371" s="1241"/>
      <c r="E371" s="1241"/>
      <c r="F371" s="1241"/>
      <c r="G371" s="1241"/>
      <c r="H371" s="1241"/>
      <c r="I371" s="1241"/>
      <c r="J371" s="1241"/>
      <c r="K371" s="1241"/>
      <c r="L371" s="1241"/>
      <c r="M371" s="237"/>
      <c r="N371" s="237"/>
      <c r="O371" s="237"/>
      <c r="P371" s="237"/>
      <c r="Q371" s="237"/>
      <c r="R371" s="237"/>
      <c r="S371" s="237"/>
      <c r="T371" s="237"/>
      <c r="U371" s="237"/>
    </row>
    <row r="372" spans="2:21" ht="15" hidden="1" customHeight="1">
      <c r="D372" s="1241"/>
      <c r="E372" s="1241"/>
      <c r="F372" s="1241"/>
      <c r="G372" s="1241"/>
      <c r="H372" s="1241"/>
      <c r="I372" s="1241"/>
      <c r="J372" s="1241"/>
      <c r="K372" s="1241"/>
      <c r="L372" s="1241"/>
      <c r="M372" s="237"/>
      <c r="N372" s="237"/>
      <c r="O372" s="237"/>
      <c r="P372" s="237"/>
      <c r="Q372" s="237"/>
      <c r="R372" s="237"/>
      <c r="S372" s="237"/>
      <c r="T372" s="237"/>
      <c r="U372" s="237"/>
    </row>
    <row r="373" spans="2:21" ht="15" hidden="1" customHeight="1">
      <c r="D373" s="1241"/>
      <c r="E373" s="1241"/>
      <c r="F373" s="1241"/>
      <c r="G373" s="1241"/>
      <c r="H373" s="1241"/>
      <c r="I373" s="1241"/>
      <c r="J373" s="1241"/>
      <c r="K373" s="1241"/>
      <c r="L373" s="1241"/>
      <c r="M373" s="237"/>
      <c r="N373" s="237"/>
      <c r="O373" s="237"/>
      <c r="P373" s="237"/>
      <c r="Q373" s="237"/>
      <c r="R373" s="237"/>
      <c r="S373" s="237"/>
      <c r="T373" s="237"/>
      <c r="U373" s="237"/>
    </row>
    <row r="374" spans="2:21">
      <c r="B374" s="241" t="s">
        <v>426</v>
      </c>
      <c r="C374" s="242"/>
      <c r="D374" s="361" t="s">
        <v>34</v>
      </c>
      <c r="E374" s="361"/>
      <c r="F374" s="361"/>
      <c r="G374" s="361"/>
      <c r="H374" s="361"/>
      <c r="I374" s="361"/>
      <c r="J374" s="361"/>
      <c r="M374" s="237"/>
      <c r="N374" s="237"/>
      <c r="O374" s="237"/>
      <c r="P374" s="237"/>
      <c r="Q374" s="237"/>
      <c r="R374" s="237"/>
      <c r="S374" s="237"/>
      <c r="T374" s="237"/>
      <c r="U374" s="237"/>
    </row>
    <row r="375" spans="2:21">
      <c r="B375" s="241"/>
      <c r="C375" s="242"/>
      <c r="D375" s="361" t="str">
        <f>"This total balance of $265,249,280 at 12/31/12 is not included in the balance in line "&amp;B271&amp;" above."</f>
        <v>This total balance of $265,249,280 at 12/31/12 is not included in the balance in line 154 above.</v>
      </c>
      <c r="E375" s="361"/>
      <c r="F375" s="361"/>
      <c r="G375" s="361"/>
      <c r="H375" s="361"/>
      <c r="I375" s="361"/>
      <c r="J375" s="361"/>
      <c r="M375" s="237"/>
      <c r="N375" s="237"/>
      <c r="O375" s="237"/>
      <c r="P375" s="237"/>
      <c r="Q375" s="237"/>
      <c r="R375" s="237"/>
      <c r="S375" s="237"/>
      <c r="T375" s="237"/>
      <c r="U375" s="237"/>
    </row>
    <row r="376" spans="2:21">
      <c r="B376" s="241"/>
      <c r="C376" s="242"/>
      <c r="D376" s="1239" t="s">
        <v>581</v>
      </c>
      <c r="E376" s="1239"/>
      <c r="F376" s="1239"/>
      <c r="G376" s="1239"/>
      <c r="H376" s="1239"/>
      <c r="I376" s="1239"/>
      <c r="J376" s="1239"/>
      <c r="K376" s="1239"/>
      <c r="L376" s="1239"/>
      <c r="M376" s="237"/>
      <c r="N376" s="237"/>
      <c r="O376" s="237"/>
      <c r="P376" s="237"/>
      <c r="Q376" s="237"/>
      <c r="R376" s="237"/>
      <c r="S376" s="237"/>
      <c r="T376" s="237"/>
      <c r="U376" s="237"/>
    </row>
    <row r="377" spans="2:21">
      <c r="B377" s="241"/>
      <c r="C377" s="242"/>
      <c r="D377" s="1239"/>
      <c r="E377" s="1239"/>
      <c r="F377" s="1239"/>
      <c r="G377" s="1239"/>
      <c r="H377" s="1239"/>
      <c r="I377" s="1239"/>
      <c r="J377" s="1239"/>
      <c r="K377" s="1239"/>
      <c r="L377" s="1239"/>
      <c r="M377" s="237"/>
      <c r="N377" s="237"/>
      <c r="O377" s="237"/>
      <c r="P377" s="237"/>
      <c r="Q377" s="237"/>
      <c r="R377" s="237"/>
      <c r="S377" s="237"/>
      <c r="T377" s="237"/>
      <c r="U377" s="237"/>
    </row>
    <row r="378" spans="2:21">
      <c r="B378" s="241"/>
      <c r="C378" s="242"/>
      <c r="D378" s="1239"/>
      <c r="E378" s="1239"/>
      <c r="F378" s="1239"/>
      <c r="G378" s="1239"/>
      <c r="H378" s="1239"/>
      <c r="I378" s="1239"/>
      <c r="J378" s="1239"/>
      <c r="K378" s="1239"/>
      <c r="L378" s="1239"/>
      <c r="M378" s="237"/>
      <c r="N378" s="237"/>
      <c r="O378" s="237"/>
      <c r="P378" s="237"/>
      <c r="Q378" s="237"/>
      <c r="R378" s="237"/>
      <c r="S378" s="237"/>
      <c r="T378" s="237"/>
      <c r="U378" s="237"/>
    </row>
    <row r="379" spans="2:21">
      <c r="B379" s="241" t="s">
        <v>493</v>
      </c>
      <c r="C379" s="366"/>
      <c r="D379" s="1239" t="s">
        <v>751</v>
      </c>
      <c r="E379" s="1239"/>
      <c r="F379" s="1239"/>
      <c r="G379" s="1239"/>
      <c r="H379" s="1239"/>
      <c r="I379" s="1239"/>
      <c r="J379" s="1239"/>
      <c r="K379" s="1239"/>
      <c r="L379" s="1239"/>
      <c r="M379" s="237"/>
      <c r="N379" s="237"/>
      <c r="O379" s="237"/>
      <c r="P379" s="237"/>
      <c r="Q379" s="237"/>
      <c r="R379" s="237"/>
      <c r="S379" s="237"/>
      <c r="T379" s="237"/>
      <c r="U379" s="237"/>
    </row>
    <row r="380" spans="2:21" ht="64.5" customHeight="1">
      <c r="B380" s="241"/>
      <c r="C380" s="242"/>
      <c r="D380" s="1239"/>
      <c r="E380" s="1239"/>
      <c r="F380" s="1239"/>
      <c r="G380" s="1239"/>
      <c r="H380" s="1239"/>
      <c r="I380" s="1239"/>
      <c r="J380" s="1239"/>
      <c r="K380" s="1239"/>
      <c r="L380" s="1239"/>
      <c r="M380" s="237"/>
      <c r="N380" s="237"/>
      <c r="O380" s="237"/>
      <c r="P380" s="237"/>
      <c r="Q380" s="237"/>
      <c r="R380" s="237"/>
      <c r="S380" s="237"/>
      <c r="T380" s="237"/>
      <c r="U380" s="237"/>
    </row>
    <row r="381" spans="2:21">
      <c r="B381" s="241" t="s">
        <v>583</v>
      </c>
      <c r="C381" s="242"/>
      <c r="D381" s="1239" t="s">
        <v>582</v>
      </c>
      <c r="E381" s="1239"/>
      <c r="F381" s="1239"/>
      <c r="G381" s="1239"/>
      <c r="H381" s="1239"/>
      <c r="I381" s="1239"/>
      <c r="J381" s="1239"/>
      <c r="K381" s="1239"/>
      <c r="L381" s="1239"/>
      <c r="M381" s="237"/>
      <c r="N381" s="237"/>
      <c r="O381" s="237"/>
      <c r="P381" s="237"/>
      <c r="Q381" s="237"/>
      <c r="R381" s="237"/>
      <c r="S381" s="237"/>
      <c r="T381" s="237"/>
      <c r="U381" s="237"/>
    </row>
    <row r="382" spans="2:21">
      <c r="B382" s="241"/>
      <c r="C382" s="242"/>
      <c r="D382" s="1239"/>
      <c r="E382" s="1239"/>
      <c r="F382" s="1239"/>
      <c r="G382" s="1239"/>
      <c r="H382" s="1239"/>
      <c r="I382" s="1239"/>
      <c r="J382" s="1239"/>
      <c r="K382" s="1239"/>
      <c r="L382" s="1239"/>
      <c r="M382" s="237"/>
      <c r="N382" s="237"/>
      <c r="O382" s="237"/>
      <c r="P382" s="237"/>
      <c r="Q382" s="237"/>
      <c r="R382" s="237"/>
      <c r="S382" s="237"/>
      <c r="T382" s="237"/>
      <c r="U382" s="237"/>
    </row>
    <row r="383" spans="2:21">
      <c r="B383" s="241" t="s">
        <v>585</v>
      </c>
      <c r="C383" s="242"/>
      <c r="D383" s="1244" t="s">
        <v>586</v>
      </c>
      <c r="E383" s="1244"/>
      <c r="F383" s="1244"/>
      <c r="G383" s="1244"/>
      <c r="H383" s="1244"/>
      <c r="I383" s="1244"/>
      <c r="J383" s="1244"/>
      <c r="K383" s="1244"/>
      <c r="L383" s="1244"/>
      <c r="M383" s="237"/>
      <c r="N383" s="237"/>
      <c r="O383" s="237"/>
      <c r="P383" s="237"/>
      <c r="Q383" s="237"/>
      <c r="R383" s="237"/>
      <c r="S383" s="237"/>
      <c r="T383" s="237"/>
      <c r="U383" s="237"/>
    </row>
    <row r="384" spans="2:21">
      <c r="B384" s="241" t="s">
        <v>584</v>
      </c>
      <c r="C384" s="242"/>
      <c r="D384" s="1239" t="s">
        <v>587</v>
      </c>
      <c r="E384" s="1239"/>
      <c r="F384" s="1239"/>
      <c r="G384" s="1239"/>
      <c r="H384" s="1239"/>
      <c r="I384" s="1239"/>
      <c r="J384" s="1239"/>
      <c r="K384" s="1239"/>
      <c r="L384" s="1239"/>
      <c r="M384" s="237"/>
      <c r="N384" s="237"/>
      <c r="O384" s="237"/>
      <c r="P384" s="237"/>
      <c r="Q384" s="237"/>
      <c r="R384" s="237"/>
      <c r="S384" s="237"/>
      <c r="T384" s="237"/>
      <c r="U384" s="237"/>
    </row>
    <row r="385" spans="2:21">
      <c r="B385" s="241"/>
      <c r="C385" s="242"/>
      <c r="D385" s="1239"/>
      <c r="E385" s="1239"/>
      <c r="F385" s="1239"/>
      <c r="G385" s="1239"/>
      <c r="H385" s="1239"/>
      <c r="I385" s="1239"/>
      <c r="J385" s="1239"/>
      <c r="K385" s="1239"/>
      <c r="L385" s="1239"/>
      <c r="M385" s="237"/>
      <c r="N385" s="237"/>
      <c r="O385" s="237"/>
      <c r="P385" s="237"/>
      <c r="Q385" s="237"/>
      <c r="R385" s="237"/>
      <c r="S385" s="237"/>
      <c r="T385" s="237"/>
      <c r="U385" s="237"/>
    </row>
    <row r="386" spans="2:21">
      <c r="B386"/>
      <c r="C386"/>
      <c r="D386" s="1239"/>
      <c r="E386" s="1239"/>
      <c r="F386" s="1239"/>
      <c r="G386" s="1239"/>
      <c r="H386" s="1239"/>
      <c r="I386" s="1239"/>
      <c r="J386" s="1239"/>
      <c r="K386" s="1239"/>
      <c r="L386" s="1239"/>
      <c r="M386" s="237"/>
      <c r="N386" s="237"/>
      <c r="O386" s="237"/>
      <c r="P386" s="237"/>
      <c r="Q386" s="237"/>
      <c r="R386" s="237"/>
      <c r="S386" s="237"/>
      <c r="T386" s="237"/>
      <c r="U386" s="237"/>
    </row>
    <row r="387" spans="2:21" ht="18" customHeight="1">
      <c r="B387" s="28" t="s">
        <v>623</v>
      </c>
      <c r="C387" s="815"/>
      <c r="D387" s="11" t="s">
        <v>855</v>
      </c>
      <c r="E387" s="3"/>
      <c r="F387" s="3"/>
      <c r="G387" s="3"/>
      <c r="H387"/>
      <c r="M387" s="237"/>
      <c r="N387" s="237"/>
      <c r="O387" s="237"/>
      <c r="P387" s="237"/>
      <c r="Q387" s="237"/>
      <c r="R387" s="237"/>
      <c r="S387" s="237"/>
      <c r="T387" s="237"/>
      <c r="U387" s="237"/>
    </row>
    <row r="388" spans="2:21">
      <c r="B388"/>
      <c r="C388"/>
      <c r="D388"/>
      <c r="E388"/>
      <c r="F388"/>
      <c r="G388"/>
      <c r="H388"/>
      <c r="M388" s="237"/>
      <c r="N388" s="237"/>
      <c r="O388" s="237"/>
      <c r="P388" s="237"/>
      <c r="Q388" s="237"/>
      <c r="R388" s="237"/>
      <c r="S388" s="237"/>
      <c r="T388" s="237"/>
      <c r="U388" s="237"/>
    </row>
    <row r="389" spans="2:21">
      <c r="B389" s="28" t="s">
        <v>898</v>
      </c>
      <c r="C389"/>
      <c r="D389" s="1224" t="s">
        <v>899</v>
      </c>
      <c r="E389" s="1224"/>
      <c r="F389" s="1224"/>
      <c r="G389" s="1224"/>
      <c r="H389" s="1224"/>
      <c r="I389" s="1224"/>
      <c r="J389" s="1224"/>
      <c r="K389" s="1224"/>
      <c r="L389" s="1224"/>
    </row>
    <row r="390" spans="2:21">
      <c r="B390"/>
      <c r="C390"/>
      <c r="D390" s="1224"/>
      <c r="E390" s="1224"/>
      <c r="F390" s="1224"/>
      <c r="G390" s="1224"/>
      <c r="H390" s="1224"/>
      <c r="I390" s="1224"/>
      <c r="J390" s="1224"/>
      <c r="K390" s="1224"/>
      <c r="L390" s="1224"/>
    </row>
    <row r="391" spans="2:21">
      <c r="B391" s="358" t="s">
        <v>1290</v>
      </c>
      <c r="D391" s="233" t="s">
        <v>1291</v>
      </c>
    </row>
    <row r="393" spans="2:21">
      <c r="B393" s="358" t="s">
        <v>1292</v>
      </c>
      <c r="D393" s="233" t="s">
        <v>1293</v>
      </c>
    </row>
  </sheetData>
  <mergeCells count="26">
    <mergeCell ref="B24:I25"/>
    <mergeCell ref="I60:J60"/>
    <mergeCell ref="I63:J63"/>
    <mergeCell ref="I140:J140"/>
    <mergeCell ref="I143:J143"/>
    <mergeCell ref="D368:L373"/>
    <mergeCell ref="D376:L378"/>
    <mergeCell ref="D323:K325"/>
    <mergeCell ref="D379:L380"/>
    <mergeCell ref="D383:L383"/>
    <mergeCell ref="D389:L390"/>
    <mergeCell ref="D42:L42"/>
    <mergeCell ref="D336:K337"/>
    <mergeCell ref="D326:J327"/>
    <mergeCell ref="D344:L346"/>
    <mergeCell ref="D332:J334"/>
    <mergeCell ref="D319:K321"/>
    <mergeCell ref="E185:E186"/>
    <mergeCell ref="G269:I269"/>
    <mergeCell ref="D384:L386"/>
    <mergeCell ref="D296:L296"/>
    <mergeCell ref="D308:L308"/>
    <mergeCell ref="D304:L305"/>
    <mergeCell ref="D339:L342"/>
    <mergeCell ref="D381:L382"/>
    <mergeCell ref="D299:K300"/>
  </mergeCells>
  <phoneticPr fontId="0" type="noConversion"/>
  <pageMargins left="0.26" right="0.37" top="1" bottom="1" header="0.86" footer="0.5"/>
  <pageSetup scale="36"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O28"/>
  <sheetViews>
    <sheetView tabSelected="1" view="pageBreakPreview" topLeftCell="A7" zoomScaleNormal="100" zoomScaleSheetLayoutView="100" workbookViewId="0">
      <selection activeCell="D3" sqref="D3"/>
    </sheetView>
  </sheetViews>
  <sheetFormatPr defaultColWidth="8.85546875" defaultRowHeight="12.75"/>
  <cols>
    <col min="1" max="1" width="9.42578125" style="1" bestFit="1" customWidth="1"/>
    <col min="2" max="2" width="65.140625" bestFit="1" customWidth="1"/>
    <col min="3" max="3" width="12.5703125" bestFit="1" customWidth="1"/>
    <col min="4" max="4" width="1.5703125" customWidth="1"/>
    <col min="5" max="5" width="15" bestFit="1" customWidth="1"/>
  </cols>
  <sheetData>
    <row r="1" spans="1:15" ht="15.75">
      <c r="A1" s="651" t="s">
        <v>114</v>
      </c>
    </row>
    <row r="2" spans="1:15" ht="15.75">
      <c r="A2" s="651" t="s">
        <v>114</v>
      </c>
    </row>
    <row r="3" spans="1:15" ht="15">
      <c r="A3" s="1254" t="str">
        <f>+'WS C  - Working Capital'!A3:L3</f>
        <v>AEP East Companies</v>
      </c>
      <c r="B3" s="1254"/>
      <c r="C3" s="1254"/>
      <c r="D3" s="1254"/>
      <c r="E3" s="1254"/>
      <c r="F3" s="28"/>
      <c r="G3" s="28"/>
      <c r="H3" s="28"/>
      <c r="I3" s="28"/>
      <c r="J3" s="28"/>
      <c r="K3" s="28"/>
      <c r="L3" s="28"/>
      <c r="M3" s="28"/>
      <c r="N3" s="28"/>
      <c r="O3" s="28"/>
    </row>
    <row r="4" spans="1:15" ht="15">
      <c r="A4" s="1255" t="str">
        <f>"Cost of Service Formula Rate Using Actual/Projected FF1 Balances"</f>
        <v>Cost of Service Formula Rate Using Actual/Projected FF1 Balances</v>
      </c>
      <c r="B4" s="1255"/>
      <c r="C4" s="1255"/>
      <c r="D4" s="1255"/>
      <c r="E4" s="1255"/>
      <c r="F4" s="72"/>
      <c r="G4" s="72"/>
      <c r="H4" s="72"/>
      <c r="I4" s="72"/>
      <c r="J4" s="72"/>
      <c r="K4" s="72"/>
      <c r="L4" s="72"/>
      <c r="M4" s="73"/>
      <c r="N4" s="73"/>
      <c r="O4" s="73"/>
    </row>
    <row r="5" spans="1:15" ht="15">
      <c r="A5" s="1255" t="s">
        <v>227</v>
      </c>
      <c r="B5" s="1255"/>
      <c r="C5" s="1255"/>
      <c r="D5" s="1255"/>
      <c r="E5" s="1255"/>
      <c r="F5" s="72"/>
      <c r="G5" s="72"/>
      <c r="H5" s="72"/>
      <c r="I5" s="72"/>
      <c r="J5" s="72"/>
      <c r="K5" s="72"/>
      <c r="L5" s="72"/>
      <c r="M5" s="72"/>
      <c r="N5" s="72"/>
      <c r="O5" s="72"/>
    </row>
    <row r="6" spans="1:15" ht="15">
      <c r="A6" s="1263" t="str">
        <f>TCOS!F9</f>
        <v>WHEELING POWER COMPANY</v>
      </c>
      <c r="B6" s="1263"/>
      <c r="C6" s="1263"/>
      <c r="D6" s="1263"/>
      <c r="E6" s="1263"/>
      <c r="F6" s="2"/>
      <c r="G6" s="2"/>
      <c r="H6" s="2"/>
      <c r="I6" s="2"/>
      <c r="J6" s="2"/>
      <c r="K6" s="2"/>
      <c r="L6" s="2"/>
      <c r="M6" s="2"/>
      <c r="N6" s="2"/>
      <c r="O6" s="2"/>
    </row>
    <row r="8" spans="1:15">
      <c r="A8" s="367" t="s">
        <v>169</v>
      </c>
      <c r="B8" s="130" t="s">
        <v>162</v>
      </c>
      <c r="C8" s="130" t="s">
        <v>163</v>
      </c>
    </row>
    <row r="9" spans="1:15">
      <c r="A9" s="367" t="s">
        <v>106</v>
      </c>
      <c r="B9" s="367" t="s">
        <v>167</v>
      </c>
      <c r="C9" s="367">
        <f>+TCOS!L4</f>
        <v>2025</v>
      </c>
    </row>
    <row r="10" spans="1:15">
      <c r="B10" s="186"/>
      <c r="C10" s="130"/>
    </row>
    <row r="11" spans="1:15">
      <c r="A11" s="1">
        <v>1</v>
      </c>
      <c r="B11" s="817" t="str">
        <f>"Net Funds from IPP Customers 12/31/"&amp;TCOS!L4-1&amp;" ("&amp;TCOS!L4&amp;" FORM 1, P269)"</f>
        <v>Net Funds from IPP Customers 12/31/2024 (2025 FORM 1, P269)</v>
      </c>
      <c r="C11" s="610">
        <v>0</v>
      </c>
    </row>
    <row r="12" spans="1:15">
      <c r="B12" s="3"/>
      <c r="C12" s="101"/>
    </row>
    <row r="13" spans="1:15">
      <c r="A13" s="1">
        <v>2</v>
      </c>
      <c r="B13" s="817" t="s">
        <v>71</v>
      </c>
      <c r="C13" s="610">
        <v>0</v>
      </c>
    </row>
    <row r="14" spans="1:15">
      <c r="B14" s="817"/>
      <c r="C14" s="101"/>
    </row>
    <row r="15" spans="1:15">
      <c r="A15" s="1">
        <f>+A13+1</f>
        <v>3</v>
      </c>
      <c r="B15" s="817" t="s">
        <v>72</v>
      </c>
      <c r="C15" s="610"/>
    </row>
    <row r="16" spans="1:15">
      <c r="B16" s="817"/>
      <c r="C16" s="101"/>
    </row>
    <row r="17" spans="1:4">
      <c r="A17" s="1">
        <f>+A15+1</f>
        <v>4</v>
      </c>
      <c r="B17" s="818" t="s">
        <v>228</v>
      </c>
      <c r="C17" s="101"/>
    </row>
    <row r="18" spans="1:4">
      <c r="A18" s="1">
        <f>+A17+1</f>
        <v>5</v>
      </c>
      <c r="B18" s="817" t="s">
        <v>73</v>
      </c>
      <c r="C18" s="610"/>
    </row>
    <row r="19" spans="1:4">
      <c r="A19" s="1">
        <f>+A18+1</f>
        <v>6</v>
      </c>
      <c r="B19" s="76" t="s">
        <v>114</v>
      </c>
      <c r="C19" s="616">
        <v>0</v>
      </c>
    </row>
    <row r="20" spans="1:4">
      <c r="B20" s="3"/>
      <c r="C20" s="617"/>
    </row>
    <row r="21" spans="1:4">
      <c r="A21" s="1">
        <f>+A19+1</f>
        <v>7</v>
      </c>
      <c r="B21" s="817" t="str">
        <f>"Net Funds from IPP Customers 12/31/"&amp;TCOS!L4&amp;" ("&amp;TCOS!L4&amp;" FORM 1, P269)"</f>
        <v>Net Funds from IPP Customers 12/31/2025 (2025 FORM 1, P269)</v>
      </c>
      <c r="C21" s="101">
        <f>+C11+C13+C15+C18+C19</f>
        <v>0</v>
      </c>
      <c r="D21" s="368"/>
    </row>
    <row r="22" spans="1:4">
      <c r="B22" s="3"/>
      <c r="C22" s="101"/>
    </row>
    <row r="23" spans="1:4">
      <c r="A23" s="1">
        <f>+A21+1</f>
        <v>8</v>
      </c>
      <c r="B23" s="817" t="str">
        <f>"Average Balance for Year as Indicated in Column B ((ln "&amp;A11&amp;" + ln "&amp;A21&amp;")/2)"</f>
        <v>Average Balance for Year as Indicated in Column B ((ln 1 + ln 7)/2)</v>
      </c>
      <c r="C23" s="369">
        <f>AVERAGE(C21,C11)</f>
        <v>0</v>
      </c>
    </row>
    <row r="24" spans="1:4">
      <c r="B24" s="3"/>
    </row>
    <row r="25" spans="1:4">
      <c r="B25" s="67"/>
      <c r="C25" s="370"/>
    </row>
    <row r="26" spans="1:4" ht="15">
      <c r="A26" s="233" t="s">
        <v>498</v>
      </c>
      <c r="B26" s="1232" t="str">
        <f>"On this worksheet Company Records refers to  "&amp;A6&amp;"'s general ledger."</f>
        <v>On this worksheet Company Records refers to  WHEELING POWER COMPANY's general ledger.</v>
      </c>
    </row>
    <row r="27" spans="1:4">
      <c r="B27" s="1233"/>
    </row>
    <row r="28" spans="1:4">
      <c r="B28" s="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V41"/>
  <sheetViews>
    <sheetView tabSelected="1" view="pageBreakPreview" topLeftCell="B8" zoomScaleNormal="100" zoomScaleSheetLayoutView="100" workbookViewId="0">
      <selection activeCell="D3" sqref="D3"/>
    </sheetView>
  </sheetViews>
  <sheetFormatPr defaultColWidth="9.140625" defaultRowHeight="15"/>
  <cols>
    <col min="1" max="1" width="9.42578125" style="371" customWidth="1"/>
    <col min="2" max="2" width="6.5703125" style="371" customWidth="1"/>
    <col min="3" max="8" width="14.5703125" style="371" customWidth="1"/>
    <col min="9" max="9" width="14.85546875" style="371" bestFit="1" customWidth="1"/>
    <col min="10" max="11" width="16.5703125" style="371" bestFit="1" customWidth="1"/>
    <col min="12" max="13" width="22.140625" style="371" bestFit="1" customWidth="1"/>
    <col min="14" max="14" width="8.42578125" style="371" customWidth="1"/>
    <col min="15" max="38" width="12.5703125" style="371" customWidth="1"/>
    <col min="39" max="16384" width="9.140625" style="371"/>
  </cols>
  <sheetData>
    <row r="1" spans="1:22" ht="15.75">
      <c r="A1" s="651" t="s">
        <v>114</v>
      </c>
    </row>
    <row r="2" spans="1:22" ht="15.75">
      <c r="A2" s="651" t="s">
        <v>114</v>
      </c>
    </row>
    <row r="3" spans="1:22">
      <c r="A3" s="1254" t="str">
        <f>+'WS C  - Working Capital'!A3:L3</f>
        <v>AEP East Companies</v>
      </c>
      <c r="B3" s="1254"/>
      <c r="C3" s="1254"/>
      <c r="D3" s="1254"/>
      <c r="E3" s="1254"/>
      <c r="F3" s="1254"/>
      <c r="G3" s="1254"/>
      <c r="H3" s="1254"/>
      <c r="I3" s="1254"/>
      <c r="J3" s="1254"/>
      <c r="K3" s="1254"/>
      <c r="L3" s="28"/>
      <c r="M3" s="28"/>
      <c r="N3" s="28"/>
      <c r="O3" s="28"/>
    </row>
    <row r="4" spans="1:22">
      <c r="A4" s="1255" t="str">
        <f>"Cost of Service Formula Rate Using Actual/Projected FF1 Balances"</f>
        <v>Cost of Service Formula Rate Using Actual/Projected FF1 Balances</v>
      </c>
      <c r="B4" s="1255"/>
      <c r="C4" s="1255"/>
      <c r="D4" s="1255"/>
      <c r="E4" s="1255"/>
      <c r="F4" s="1255"/>
      <c r="G4" s="1255"/>
      <c r="H4" s="1255"/>
      <c r="I4" s="1255"/>
      <c r="J4" s="1255"/>
      <c r="K4" s="1255"/>
      <c r="L4" s="73"/>
      <c r="M4" s="73"/>
      <c r="N4" s="73"/>
      <c r="O4" s="73"/>
    </row>
    <row r="5" spans="1:22">
      <c r="A5" s="1255" t="s">
        <v>237</v>
      </c>
      <c r="B5" s="1255"/>
      <c r="C5" s="1255"/>
      <c r="D5" s="1255"/>
      <c r="E5" s="1255"/>
      <c r="F5" s="1255"/>
      <c r="G5" s="1255"/>
      <c r="H5" s="1255"/>
      <c r="I5" s="1255"/>
      <c r="J5" s="1255"/>
      <c r="K5" s="1255"/>
      <c r="L5" s="72"/>
      <c r="M5" s="72"/>
      <c r="N5" s="72"/>
      <c r="O5" s="72"/>
    </row>
    <row r="6" spans="1:22">
      <c r="A6" s="1263" t="str">
        <f>TCOS!F9</f>
        <v>WHEELING POWER COMPANY</v>
      </c>
      <c r="B6" s="1263"/>
      <c r="C6" s="1263"/>
      <c r="D6" s="1263"/>
      <c r="E6" s="1263"/>
      <c r="F6" s="1263"/>
      <c r="G6" s="1263"/>
      <c r="H6" s="1263"/>
      <c r="I6" s="1263"/>
      <c r="J6" s="1263"/>
      <c r="K6" s="1263"/>
      <c r="L6" s="2"/>
      <c r="M6" s="2"/>
      <c r="N6" s="2"/>
      <c r="O6" s="2"/>
    </row>
    <row r="8" spans="1:22" ht="18">
      <c r="A8" s="1287"/>
      <c r="B8" s="1287"/>
      <c r="C8" s="1287"/>
      <c r="D8" s="1287"/>
      <c r="E8" s="1287"/>
      <c r="F8" s="1287"/>
      <c r="G8" s="1287"/>
      <c r="H8" s="1287"/>
      <c r="I8" s="1287"/>
      <c r="J8" s="1287"/>
      <c r="K8" s="1287"/>
      <c r="L8" s="372"/>
      <c r="M8" s="373"/>
    </row>
    <row r="9" spans="1:22" ht="18">
      <c r="A9" s="122"/>
      <c r="B9" s="122"/>
      <c r="C9" s="122"/>
      <c r="D9" s="122"/>
      <c r="E9" s="122"/>
      <c r="F9" s="122"/>
      <c r="G9" s="122"/>
      <c r="H9" s="122"/>
      <c r="I9" s="122"/>
      <c r="J9" s="122"/>
      <c r="K9" s="122"/>
      <c r="L9" s="372"/>
      <c r="M9" s="373"/>
    </row>
    <row r="10" spans="1:22" ht="15.75">
      <c r="A10" s="374" t="s">
        <v>169</v>
      </c>
      <c r="B10" s="372"/>
      <c r="C10" s="27"/>
      <c r="D10" s="27"/>
      <c r="E10" s="27"/>
      <c r="F10" s="27"/>
      <c r="G10" s="375"/>
      <c r="H10" s="375"/>
      <c r="I10" s="374" t="s">
        <v>182</v>
      </c>
      <c r="J10" s="374" t="s">
        <v>28</v>
      </c>
      <c r="K10" s="376"/>
      <c r="N10" s="377"/>
      <c r="P10" s="377"/>
      <c r="R10" s="377"/>
      <c r="S10" s="377"/>
      <c r="T10" s="377"/>
      <c r="U10" s="11"/>
      <c r="V10" s="11"/>
    </row>
    <row r="11" spans="1:22" ht="15.75">
      <c r="A11" s="374" t="s">
        <v>106</v>
      </c>
      <c r="B11" s="1288" t="s">
        <v>167</v>
      </c>
      <c r="C11" s="1288"/>
      <c r="D11" s="1288"/>
      <c r="E11" s="1288"/>
      <c r="F11" s="1288"/>
      <c r="G11" s="1288"/>
      <c r="H11" s="1288"/>
      <c r="I11" s="374" t="s">
        <v>183</v>
      </c>
      <c r="J11" s="374" t="s">
        <v>115</v>
      </c>
      <c r="K11" s="374" t="s">
        <v>115</v>
      </c>
      <c r="N11" s="377"/>
      <c r="O11" s="377"/>
      <c r="P11" s="377"/>
      <c r="Q11" s="377"/>
      <c r="R11" s="377"/>
      <c r="S11" s="377"/>
      <c r="T11" s="378"/>
      <c r="U11" s="11"/>
      <c r="V11" s="11"/>
    </row>
    <row r="12" spans="1:22" ht="15.75">
      <c r="A12" s="375"/>
      <c r="B12" s="379"/>
      <c r="C12" s="372"/>
      <c r="D12" s="375"/>
      <c r="E12" s="375"/>
      <c r="F12" s="375"/>
      <c r="G12" s="375"/>
      <c r="H12" s="375"/>
      <c r="I12" s="375"/>
      <c r="J12" s="375"/>
      <c r="K12" s="380"/>
      <c r="N12" s="377"/>
      <c r="O12" s="377"/>
      <c r="P12" s="377"/>
      <c r="Q12" s="377"/>
      <c r="R12" s="377"/>
      <c r="S12" s="377"/>
      <c r="T12" s="378"/>
      <c r="U12" s="11"/>
      <c r="V12" s="11"/>
    </row>
    <row r="13" spans="1:22" s="385" customFormat="1" ht="12.75">
      <c r="A13" s="381">
        <v>1</v>
      </c>
      <c r="B13" s="382" t="s">
        <v>481</v>
      </c>
      <c r="C13" s="3"/>
      <c r="D13" s="383"/>
      <c r="E13" s="383"/>
      <c r="F13" s="383"/>
      <c r="G13" s="383"/>
      <c r="H13" s="383"/>
      <c r="I13" s="618">
        <v>169715.18</v>
      </c>
      <c r="J13" s="384">
        <f>+I13-K12</f>
        <v>169715.18</v>
      </c>
      <c r="K13" s="618">
        <v>0</v>
      </c>
      <c r="N13" s="3"/>
      <c r="O13" s="3"/>
      <c r="P13" s="3"/>
      <c r="Q13" s="3"/>
      <c r="R13" s="3"/>
      <c r="S13" s="3"/>
      <c r="T13" s="76"/>
      <c r="U13" s="3"/>
      <c r="V13" s="3"/>
    </row>
    <row r="14" spans="1:22" s="385" customFormat="1" ht="12.75">
      <c r="A14" s="386"/>
      <c r="B14" s="387"/>
      <c r="C14" s="388"/>
      <c r="D14" s="389"/>
      <c r="E14" s="389"/>
      <c r="F14" s="389"/>
      <c r="G14" s="389"/>
      <c r="H14" s="383"/>
      <c r="I14" s="390"/>
      <c r="J14" s="383"/>
      <c r="K14" s="390"/>
      <c r="N14" s="3"/>
      <c r="O14" s="3"/>
      <c r="P14" s="3"/>
      <c r="Q14" s="3"/>
      <c r="R14" s="3"/>
      <c r="S14" s="3"/>
      <c r="T14" s="76"/>
      <c r="U14" s="3"/>
      <c r="V14" s="3"/>
    </row>
    <row r="15" spans="1:22" s="385" customFormat="1" ht="12.75">
      <c r="A15" s="381">
        <f>+A13+1</f>
        <v>2</v>
      </c>
      <c r="B15" s="382" t="s">
        <v>482</v>
      </c>
      <c r="C15" s="3"/>
      <c r="D15" s="383"/>
      <c r="E15" s="383"/>
      <c r="F15" s="383"/>
      <c r="G15" s="383"/>
      <c r="H15" s="383"/>
      <c r="I15" s="618">
        <v>60955.8</v>
      </c>
      <c r="J15" s="384">
        <f>+I15-K15</f>
        <v>60955.8</v>
      </c>
      <c r="K15" s="618">
        <v>0</v>
      </c>
      <c r="N15" s="3"/>
      <c r="O15" s="3"/>
      <c r="P15" s="3"/>
      <c r="Q15" s="3"/>
      <c r="R15" s="3"/>
      <c r="S15" s="3"/>
      <c r="T15" s="3"/>
      <c r="U15" s="3"/>
      <c r="V15" s="3"/>
    </row>
    <row r="16" spans="1:22" s="385" customFormat="1" ht="12.75">
      <c r="A16" s="386"/>
      <c r="B16" s="387"/>
      <c r="C16" s="388"/>
      <c r="D16" s="389"/>
      <c r="E16" s="389"/>
      <c r="F16" s="389"/>
      <c r="G16" s="389"/>
      <c r="H16" s="383"/>
      <c r="I16" s="383"/>
      <c r="J16" s="383"/>
      <c r="K16" s="383"/>
      <c r="N16" s="3"/>
      <c r="O16" s="3"/>
      <c r="P16" s="3"/>
      <c r="Q16" s="3"/>
      <c r="R16" s="3"/>
      <c r="S16" s="3"/>
      <c r="T16" s="3"/>
      <c r="U16" s="3"/>
      <c r="V16" s="3"/>
    </row>
    <row r="17" spans="1:22" s="385" customFormat="1" ht="12.75">
      <c r="A17" s="381">
        <f>+A15+1</f>
        <v>3</v>
      </c>
      <c r="B17" s="382" t="s">
        <v>483</v>
      </c>
      <c r="C17" s="3"/>
      <c r="D17" s="383"/>
      <c r="E17" s="383"/>
      <c r="F17" s="383"/>
      <c r="G17" s="383"/>
      <c r="H17" s="383"/>
      <c r="I17" s="618">
        <v>1557335.93</v>
      </c>
      <c r="J17" s="384">
        <f>+I17-K17</f>
        <v>1386354.1839999999</v>
      </c>
      <c r="K17" s="618">
        <v>170981.74600000004</v>
      </c>
      <c r="N17" s="3"/>
      <c r="O17" s="3"/>
      <c r="P17" s="3"/>
      <c r="Q17" s="3"/>
      <c r="R17" s="3"/>
      <c r="S17" s="3"/>
      <c r="T17" s="3"/>
      <c r="U17" s="3"/>
      <c r="V17" s="3"/>
    </row>
    <row r="18" spans="1:22" s="385" customFormat="1" ht="12.75">
      <c r="A18" s="386"/>
      <c r="B18" s="383"/>
      <c r="C18" s="3"/>
      <c r="D18" s="383"/>
      <c r="E18" s="383"/>
      <c r="F18" s="383"/>
      <c r="G18" s="391"/>
      <c r="H18" s="383"/>
      <c r="I18" s="383"/>
      <c r="J18" s="383"/>
      <c r="K18" s="383" t="s">
        <v>114</v>
      </c>
      <c r="N18" s="3"/>
      <c r="O18" s="3"/>
      <c r="P18" s="3"/>
      <c r="Q18" s="3"/>
      <c r="R18" s="3"/>
      <c r="S18" s="3"/>
      <c r="T18" s="3"/>
      <c r="U18" s="3"/>
      <c r="V18" s="3"/>
    </row>
    <row r="19" spans="1:22" s="385" customFormat="1" ht="12.75">
      <c r="A19" s="381">
        <f>+A17+1</f>
        <v>4</v>
      </c>
      <c r="B19" s="382" t="s">
        <v>754</v>
      </c>
      <c r="C19" s="3"/>
      <c r="D19" s="383"/>
      <c r="E19" s="383"/>
      <c r="F19" s="383"/>
      <c r="G19" s="391"/>
      <c r="H19" s="383"/>
      <c r="I19" s="618">
        <v>175382.95</v>
      </c>
      <c r="J19" s="384">
        <f>+I19-K19</f>
        <v>175382.95</v>
      </c>
      <c r="K19" s="618">
        <v>0</v>
      </c>
      <c r="N19" s="393"/>
      <c r="O19" s="3"/>
      <c r="P19" s="3"/>
      <c r="Q19" s="3"/>
      <c r="R19" s="3"/>
      <c r="S19" s="3"/>
      <c r="T19" s="3"/>
      <c r="U19" s="3"/>
      <c r="V19" s="3"/>
    </row>
    <row r="20" spans="1:22" s="385" customFormat="1" ht="12.75">
      <c r="A20" s="386"/>
      <c r="B20" s="382"/>
      <c r="C20" s="3"/>
      <c r="D20" s="383"/>
      <c r="E20" s="383"/>
      <c r="F20" s="383"/>
      <c r="G20" s="391"/>
      <c r="H20" s="383"/>
      <c r="I20" s="3"/>
      <c r="J20" s="3"/>
      <c r="K20" s="3" t="s">
        <v>114</v>
      </c>
      <c r="L20" s="3"/>
      <c r="N20" s="393"/>
      <c r="O20" s="3"/>
      <c r="P20" s="3"/>
      <c r="Q20" s="3"/>
      <c r="R20" s="3"/>
      <c r="S20" s="3"/>
      <c r="T20" s="3"/>
      <c r="U20" s="3"/>
      <c r="V20" s="3"/>
    </row>
    <row r="21" spans="1:22" s="385" customFormat="1" ht="12.75">
      <c r="A21" s="381">
        <f>+A19+1</f>
        <v>5</v>
      </c>
      <c r="B21" s="382" t="s">
        <v>755</v>
      </c>
      <c r="C21" s="3"/>
      <c r="D21" s="383"/>
      <c r="E21" s="383"/>
      <c r="F21" s="383"/>
      <c r="G21" s="391"/>
      <c r="H21" s="383"/>
      <c r="I21" s="618">
        <v>9773719.2200000007</v>
      </c>
      <c r="J21" s="384">
        <f>+I21-K21</f>
        <v>6988931.2200000007</v>
      </c>
      <c r="K21" s="618">
        <v>2784788</v>
      </c>
      <c r="N21" s="393"/>
      <c r="O21" s="3"/>
      <c r="P21" s="3"/>
      <c r="Q21" s="3"/>
      <c r="R21" s="3"/>
      <c r="S21" s="3"/>
      <c r="T21" s="3"/>
      <c r="U21" s="3"/>
      <c r="V21" s="3"/>
    </row>
    <row r="22" spans="1:22" s="385" customFormat="1" ht="12.75">
      <c r="A22" s="381"/>
      <c r="B22" s="382"/>
      <c r="C22" s="3"/>
      <c r="D22" s="383"/>
      <c r="E22" s="383"/>
      <c r="F22" s="383"/>
      <c r="G22" s="391"/>
      <c r="H22" s="383"/>
      <c r="I22" s="650"/>
      <c r="J22" s="384"/>
      <c r="K22" s="650"/>
      <c r="N22" s="393"/>
      <c r="O22" s="3"/>
      <c r="P22" s="3"/>
      <c r="Q22" s="3"/>
      <c r="R22" s="3"/>
      <c r="S22" s="3"/>
      <c r="T22" s="3"/>
      <c r="U22" s="3"/>
      <c r="V22" s="3"/>
    </row>
    <row r="23" spans="1:22" s="385" customFormat="1" ht="12.75">
      <c r="A23" s="381" t="s">
        <v>615</v>
      </c>
      <c r="B23" s="382" t="s">
        <v>618</v>
      </c>
      <c r="C23" s="3"/>
      <c r="D23" s="383"/>
      <c r="E23" s="383"/>
      <c r="F23" s="383"/>
      <c r="G23" s="391"/>
      <c r="H23" s="383"/>
      <c r="I23" s="618"/>
      <c r="J23" s="384">
        <v>0</v>
      </c>
      <c r="K23" s="618"/>
      <c r="N23" s="393"/>
      <c r="O23" s="3"/>
      <c r="P23" s="3"/>
      <c r="Q23" s="3"/>
      <c r="R23" s="3"/>
      <c r="S23" s="3"/>
      <c r="T23" s="3"/>
      <c r="U23" s="3"/>
      <c r="V23" s="3"/>
    </row>
    <row r="24" spans="1:22" s="385" customFormat="1" ht="12.75">
      <c r="A24" s="381"/>
      <c r="B24" s="382"/>
      <c r="C24" s="3"/>
      <c r="D24" s="383"/>
      <c r="E24" s="383"/>
      <c r="F24" s="383"/>
      <c r="G24" s="391"/>
      <c r="H24" s="383"/>
      <c r="I24" s="650"/>
      <c r="J24" s="384"/>
      <c r="K24" s="650"/>
      <c r="N24" s="393"/>
      <c r="O24" s="3"/>
      <c r="P24" s="3"/>
      <c r="Q24" s="3"/>
      <c r="R24" s="3"/>
      <c r="S24" s="3"/>
      <c r="T24" s="3"/>
      <c r="U24" s="3"/>
      <c r="V24" s="3"/>
    </row>
    <row r="25" spans="1:22" s="385" customFormat="1" ht="12.75">
      <c r="A25" s="381" t="s">
        <v>616</v>
      </c>
      <c r="B25" s="382" t="s">
        <v>617</v>
      </c>
      <c r="C25" s="3"/>
      <c r="D25" s="383"/>
      <c r="E25" s="383"/>
      <c r="F25" s="383"/>
      <c r="G25" s="391"/>
      <c r="H25" s="383"/>
      <c r="I25" s="618"/>
      <c r="J25" s="384">
        <v>0</v>
      </c>
      <c r="K25" s="618"/>
      <c r="N25" s="393"/>
      <c r="O25" s="3"/>
      <c r="P25" s="3"/>
      <c r="Q25" s="3"/>
      <c r="R25" s="3"/>
      <c r="S25" s="3"/>
      <c r="T25" s="3"/>
      <c r="U25" s="3"/>
      <c r="V25" s="3"/>
    </row>
    <row r="26" spans="1:22" s="385" customFormat="1" ht="12.75">
      <c r="A26" s="381"/>
      <c r="B26" s="382"/>
      <c r="C26" s="3"/>
      <c r="D26" s="383"/>
      <c r="E26" s="383"/>
      <c r="F26" s="383"/>
      <c r="G26" s="391"/>
      <c r="H26" s="383"/>
      <c r="I26" s="3"/>
      <c r="J26" s="3"/>
      <c r="N26" s="3"/>
      <c r="O26" s="3"/>
      <c r="P26" s="3"/>
      <c r="Q26" s="3"/>
      <c r="R26" s="3"/>
      <c r="S26" s="3"/>
      <c r="T26" s="3"/>
      <c r="U26" s="3"/>
      <c r="V26" s="3"/>
    </row>
    <row r="27" spans="1:22" s="385" customFormat="1" ht="12.75">
      <c r="A27" s="381">
        <f>+A21+1</f>
        <v>6</v>
      </c>
      <c r="B27" s="382" t="s">
        <v>74</v>
      </c>
      <c r="C27" s="3"/>
      <c r="D27" s="383"/>
      <c r="E27" s="383"/>
      <c r="F27" s="383"/>
      <c r="G27" s="391"/>
      <c r="H27" s="383"/>
      <c r="I27" s="394">
        <f>+I21+I19+I17+I15+I13+I23+I25</f>
        <v>11737109.08</v>
      </c>
      <c r="J27" s="394">
        <f>+J21+J19+J17+J15+J13+J23+J25</f>
        <v>8781339.3340000007</v>
      </c>
      <c r="K27" s="394">
        <f>+K21+K19+K17+K15+K13+K23+K25</f>
        <v>2955769.7460000003</v>
      </c>
      <c r="N27" s="3"/>
      <c r="O27" s="3"/>
      <c r="P27" s="3"/>
      <c r="Q27" s="3"/>
      <c r="R27" s="3"/>
      <c r="S27" s="3"/>
      <c r="T27" s="3"/>
      <c r="U27" s="3"/>
      <c r="V27" s="3"/>
    </row>
    <row r="28" spans="1:22" s="385" customFormat="1" ht="12.75">
      <c r="A28" s="381"/>
      <c r="B28" s="382"/>
      <c r="C28" s="3"/>
      <c r="D28" s="383"/>
      <c r="E28" s="383"/>
      <c r="F28" s="383"/>
      <c r="G28" s="391"/>
      <c r="H28" s="383"/>
      <c r="I28" s="3"/>
      <c r="J28" s="3"/>
      <c r="K28" s="3"/>
      <c r="N28" s="3"/>
      <c r="O28" s="3"/>
      <c r="P28" s="3"/>
      <c r="Q28" s="3"/>
      <c r="R28" s="3"/>
      <c r="S28" s="3"/>
      <c r="T28" s="3"/>
      <c r="U28" s="3"/>
      <c r="V28" s="3"/>
    </row>
    <row r="29" spans="1:22" s="385" customFormat="1" ht="12.75">
      <c r="A29" s="381">
        <f>+A27+1</f>
        <v>7</v>
      </c>
      <c r="B29" s="1286" t="s">
        <v>484</v>
      </c>
      <c r="C29" s="1233"/>
      <c r="D29" s="1233"/>
      <c r="E29" s="1233"/>
      <c r="F29" s="1233"/>
      <c r="G29" s="1233"/>
      <c r="H29" s="383"/>
      <c r="I29" s="618"/>
      <c r="J29" s="384">
        <f>+I29-K29</f>
        <v>0</v>
      </c>
      <c r="K29" s="618"/>
      <c r="N29" s="3"/>
      <c r="O29" s="3"/>
      <c r="P29" s="3"/>
      <c r="Q29" s="3"/>
      <c r="R29" s="3"/>
      <c r="S29" s="3"/>
      <c r="T29" s="3"/>
      <c r="U29" s="3"/>
      <c r="V29" s="3"/>
    </row>
    <row r="30" spans="1:22" s="385" customFormat="1" ht="12.75">
      <c r="A30" s="76"/>
      <c r="B30" s="1233"/>
      <c r="C30" s="1233"/>
      <c r="D30" s="1233"/>
      <c r="E30" s="1233"/>
      <c r="F30" s="1233"/>
      <c r="G30" s="1233"/>
      <c r="H30" s="383"/>
      <c r="I30" s="384"/>
      <c r="J30" s="383"/>
      <c r="K30" s="384"/>
      <c r="N30" s="3"/>
      <c r="O30" s="3"/>
      <c r="P30" s="3"/>
      <c r="Q30" s="3"/>
      <c r="R30" s="3"/>
      <c r="S30" s="3"/>
      <c r="T30" s="3"/>
      <c r="U30" s="3"/>
      <c r="V30" s="3"/>
    </row>
    <row r="31" spans="1:22" s="385" customFormat="1" ht="12.75">
      <c r="A31" s="381">
        <f>+A29+1</f>
        <v>8</v>
      </c>
      <c r="B31" s="387" t="s">
        <v>215</v>
      </c>
      <c r="C31" s="388"/>
      <c r="D31" s="389"/>
      <c r="E31" s="389"/>
      <c r="F31" s="389"/>
      <c r="G31" s="392"/>
      <c r="H31" s="383"/>
      <c r="I31" s="395">
        <f>SUM(I27:I29)</f>
        <v>11737109.08</v>
      </c>
      <c r="J31" s="395">
        <f>SUM(J27:J29)</f>
        <v>8781339.3340000007</v>
      </c>
      <c r="K31" s="395">
        <f>SUM(K27:K29)</f>
        <v>2955769.7460000003</v>
      </c>
      <c r="N31" s="3"/>
      <c r="O31" s="3"/>
      <c r="P31" s="3"/>
      <c r="Q31" s="3"/>
      <c r="R31" s="3"/>
      <c r="S31" s="3"/>
      <c r="T31" s="3"/>
      <c r="U31" s="3"/>
      <c r="V31" s="3"/>
    </row>
    <row r="32" spans="1:22" s="385" customFormat="1" ht="12.75">
      <c r="A32" s="381"/>
      <c r="B32" s="387"/>
      <c r="C32" s="388"/>
      <c r="D32" s="389"/>
      <c r="E32" s="389"/>
      <c r="F32" s="389"/>
      <c r="G32" s="392"/>
      <c r="H32" s="383"/>
      <c r="I32" s="384"/>
      <c r="J32" s="384"/>
      <c r="K32" s="384"/>
      <c r="N32" s="3"/>
      <c r="O32" s="3"/>
      <c r="P32" s="3"/>
      <c r="Q32" s="3"/>
      <c r="R32" s="3"/>
      <c r="S32" s="3"/>
      <c r="T32" s="3"/>
      <c r="U32" s="3"/>
      <c r="V32" s="3"/>
    </row>
    <row r="33" spans="1:22" s="385" customFormat="1" ht="12.75">
      <c r="A33" s="381"/>
      <c r="B33" s="387"/>
      <c r="C33" s="388"/>
      <c r="D33" s="389"/>
      <c r="E33" s="389"/>
      <c r="F33" s="389"/>
      <c r="G33" s="392"/>
      <c r="H33" s="383"/>
      <c r="I33" s="384"/>
      <c r="J33" s="384"/>
      <c r="K33" s="384"/>
      <c r="N33" s="3"/>
      <c r="O33" s="3"/>
      <c r="P33" s="3"/>
      <c r="Q33" s="3"/>
      <c r="R33" s="3"/>
      <c r="S33" s="3"/>
      <c r="T33" s="3"/>
      <c r="U33" s="3"/>
      <c r="V33" s="3"/>
    </row>
    <row r="34" spans="1:22" s="385" customFormat="1" ht="12.75">
      <c r="A34" s="820"/>
      <c r="N34" s="3"/>
      <c r="O34" s="3"/>
      <c r="P34" s="3"/>
      <c r="Q34" s="3"/>
      <c r="R34" s="3"/>
      <c r="S34" s="3"/>
      <c r="T34" s="3"/>
      <c r="U34" s="3"/>
      <c r="V34" s="3"/>
    </row>
    <row r="35" spans="1:22">
      <c r="A35" s="821"/>
      <c r="B35" s="3"/>
      <c r="C35" s="382"/>
      <c r="D35" s="383"/>
      <c r="E35" s="383"/>
      <c r="F35" s="383"/>
      <c r="G35" s="391"/>
      <c r="H35" s="383"/>
      <c r="I35" s="383"/>
      <c r="J35" s="383"/>
      <c r="K35" s="383"/>
      <c r="L35" s="375"/>
      <c r="M35" s="396"/>
      <c r="N35" s="11"/>
      <c r="O35" s="27"/>
      <c r="P35" s="27"/>
      <c r="Q35" s="27"/>
      <c r="R35" s="27"/>
      <c r="S35" s="11"/>
      <c r="T35" s="11"/>
      <c r="U35" s="11"/>
      <c r="V35" s="11"/>
    </row>
    <row r="36" spans="1:22" ht="15" customHeight="1">
      <c r="A36" s="76" t="s">
        <v>498</v>
      </c>
      <c r="B36" s="1285"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WHEELING POWER COMPANY's general ledger. The functional amounts identified as transmission revenue also come from the general ledger. </v>
      </c>
      <c r="C36" s="1285"/>
      <c r="D36" s="1285"/>
      <c r="E36" s="1285"/>
      <c r="F36" s="1285"/>
      <c r="G36" s="1285"/>
      <c r="H36" s="1285"/>
      <c r="I36" s="1285"/>
      <c r="J36" s="1285"/>
      <c r="K36" s="3"/>
      <c r="L36" s="27"/>
      <c r="M36" s="27"/>
      <c r="N36" s="11"/>
      <c r="O36" s="27"/>
      <c r="P36" s="27"/>
      <c r="Q36" s="27"/>
      <c r="R36" s="27"/>
      <c r="S36" s="11"/>
      <c r="T36" s="377"/>
      <c r="U36" s="11"/>
      <c r="V36" s="11"/>
    </row>
    <row r="37" spans="1:22" ht="15.75">
      <c r="A37" s="76"/>
      <c r="B37" s="1285"/>
      <c r="C37" s="1285"/>
      <c r="D37" s="1285"/>
      <c r="E37" s="1285"/>
      <c r="F37" s="1285"/>
      <c r="G37" s="1285"/>
      <c r="H37" s="1285"/>
      <c r="I37" s="1285"/>
      <c r="J37" s="1285"/>
      <c r="K37" s="3"/>
      <c r="L37" s="11"/>
      <c r="M37" s="398"/>
      <c r="N37" s="398"/>
      <c r="O37" s="398"/>
      <c r="P37" s="398"/>
      <c r="Q37" s="398"/>
      <c r="R37" s="11"/>
      <c r="S37" s="11"/>
      <c r="T37" s="11"/>
      <c r="U37" s="11"/>
      <c r="V37" s="11"/>
    </row>
    <row r="38" spans="1:22" ht="15.75">
      <c r="A38" s="76" t="s">
        <v>613</v>
      </c>
      <c r="B38" s="819" t="s">
        <v>614</v>
      </c>
      <c r="C38" s="397"/>
      <c r="D38" s="397"/>
      <c r="E38" s="397"/>
      <c r="F38" s="397"/>
      <c r="G38" s="397"/>
      <c r="H38" s="397"/>
      <c r="I38" s="397"/>
      <c r="J38" s="397"/>
      <c r="K38" s="130"/>
      <c r="L38" s="11"/>
      <c r="M38" s="398"/>
      <c r="N38" s="398"/>
      <c r="O38" s="398"/>
      <c r="P38" s="398"/>
      <c r="Q38" s="398"/>
      <c r="R38" s="11"/>
      <c r="S38" s="11"/>
      <c r="T38" s="11"/>
      <c r="U38" s="11"/>
      <c r="V38" s="11"/>
    </row>
    <row r="39" spans="1:22" ht="15.75">
      <c r="A39" s="381">
        <f>+A31+1</f>
        <v>9</v>
      </c>
      <c r="B39" s="382" t="s">
        <v>533</v>
      </c>
      <c r="C39" s="3"/>
      <c r="D39" s="383"/>
      <c r="E39" s="383"/>
      <c r="F39" s="383"/>
      <c r="G39" s="391"/>
      <c r="H39" s="383"/>
      <c r="I39" s="384"/>
      <c r="J39" s="384"/>
      <c r="K39" s="618">
        <v>0</v>
      </c>
      <c r="L39" s="11"/>
      <c r="M39" s="398"/>
      <c r="N39" s="398"/>
      <c r="O39" s="398"/>
      <c r="P39" s="398"/>
      <c r="Q39" s="398"/>
      <c r="R39" s="11"/>
      <c r="S39" s="11"/>
      <c r="T39" s="11"/>
      <c r="U39" s="11"/>
      <c r="V39" s="11"/>
    </row>
    <row r="40" spans="1:22" ht="15.75">
      <c r="A40" s="11"/>
      <c r="B40" s="11"/>
      <c r="E40" s="398"/>
      <c r="F40" s="398"/>
      <c r="G40" s="398"/>
      <c r="H40" s="398"/>
      <c r="I40" s="399"/>
      <c r="J40" s="398"/>
      <c r="K40" s="398"/>
      <c r="L40" s="11"/>
      <c r="M40" s="398"/>
      <c r="N40" s="398"/>
      <c r="O40" s="398"/>
      <c r="P40" s="398"/>
      <c r="Q40" s="398"/>
      <c r="R40" s="11"/>
      <c r="S40" s="11"/>
      <c r="T40" s="11"/>
      <c r="U40" s="11"/>
      <c r="V40" s="11"/>
    </row>
    <row r="41" spans="1:22" ht="15.75">
      <c r="A41" s="11"/>
      <c r="B41" s="11"/>
      <c r="E41" s="398"/>
      <c r="F41" s="398"/>
      <c r="G41" s="398"/>
      <c r="H41" s="398"/>
      <c r="I41" s="398" t="s">
        <v>114</v>
      </c>
      <c r="J41" s="398"/>
      <c r="K41" s="398"/>
      <c r="L41" s="11"/>
      <c r="M41" s="398"/>
      <c r="N41" s="398"/>
      <c r="O41" s="398"/>
      <c r="P41" s="398"/>
      <c r="Q41" s="398"/>
      <c r="R41" s="11"/>
      <c r="S41" s="11"/>
      <c r="T41" s="11"/>
      <c r="U41" s="11"/>
      <c r="V41" s="11"/>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3"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S72"/>
  <sheetViews>
    <sheetView tabSelected="1" view="pageBreakPreview" topLeftCell="A35" zoomScale="85" zoomScaleNormal="85" zoomScaleSheetLayoutView="85" workbookViewId="0">
      <selection activeCell="D3" sqref="D3"/>
    </sheetView>
  </sheetViews>
  <sheetFormatPr defaultColWidth="9.140625" defaultRowHeight="15"/>
  <cols>
    <col min="1" max="1" width="10.42578125" style="44" customWidth="1"/>
    <col min="2" max="2" width="15.140625" style="17" customWidth="1"/>
    <col min="3" max="3" width="59.140625" style="5" customWidth="1"/>
    <col min="4" max="4" width="15.5703125" style="5" customWidth="1"/>
    <col min="5" max="5" width="22" style="5" customWidth="1"/>
    <col min="6" max="6" width="17.42578125" style="5" customWidth="1"/>
    <col min="7" max="7" width="47.5703125" style="5" customWidth="1"/>
    <col min="8" max="8" width="13.85546875" style="5" customWidth="1"/>
    <col min="9" max="9" width="9.140625" style="5"/>
    <col min="10" max="10" width="12.42578125" style="5" bestFit="1" customWidth="1"/>
    <col min="11" max="11" width="13.42578125" style="5" customWidth="1"/>
    <col min="12" max="16384" width="9.140625" style="5"/>
  </cols>
  <sheetData>
    <row r="1" spans="1:11" ht="15.75">
      <c r="A1" s="651" t="s">
        <v>114</v>
      </c>
    </row>
    <row r="2" spans="1:11" ht="15.75">
      <c r="A2" s="651" t="s">
        <v>114</v>
      </c>
    </row>
    <row r="3" spans="1:11">
      <c r="A3" s="1254" t="s">
        <v>387</v>
      </c>
      <c r="B3" s="1254"/>
      <c r="C3" s="1254"/>
      <c r="D3" s="1254"/>
      <c r="E3" s="1254"/>
      <c r="F3" s="1254"/>
      <c r="G3" s="1254"/>
      <c r="H3" s="28"/>
    </row>
    <row r="4" spans="1:11" ht="17.25" customHeight="1">
      <c r="A4" s="1255" t="str">
        <f>"Cost of Service Formula Rate Using Actual/Projected FF1 Balances"</f>
        <v>Cost of Service Formula Rate Using Actual/Projected FF1 Balances</v>
      </c>
      <c r="B4" s="1255"/>
      <c r="C4" s="1255"/>
      <c r="D4" s="1255"/>
      <c r="E4" s="1255"/>
      <c r="F4" s="1255"/>
      <c r="G4" s="1255"/>
      <c r="H4" s="72"/>
      <c r="I4" s="72"/>
      <c r="J4" s="72"/>
      <c r="K4" s="72"/>
    </row>
    <row r="5" spans="1:11" ht="18" customHeight="1">
      <c r="A5" s="1255" t="s">
        <v>487</v>
      </c>
      <c r="B5" s="1255"/>
      <c r="C5" s="1255"/>
      <c r="D5" s="1255"/>
      <c r="E5" s="1255"/>
      <c r="F5" s="1255"/>
      <c r="G5" s="1255"/>
    </row>
    <row r="6" spans="1:11" ht="19.5" customHeight="1">
      <c r="A6" s="1263" t="str">
        <f>TCOS!F9</f>
        <v>WHEELING POWER COMPANY</v>
      </c>
      <c r="B6" s="1263"/>
      <c r="C6" s="1263"/>
      <c r="D6" s="1263"/>
      <c r="E6" s="1263"/>
      <c r="F6" s="1263"/>
      <c r="G6" s="1263"/>
    </row>
    <row r="7" spans="1:11" ht="12.75" customHeight="1">
      <c r="A7" s="1254"/>
      <c r="B7" s="1254"/>
      <c r="C7" s="1254"/>
      <c r="D7" s="1254"/>
      <c r="E7" s="1254"/>
      <c r="F7" s="1254"/>
      <c r="G7" s="34"/>
    </row>
    <row r="8" spans="1:11" ht="18">
      <c r="A8" s="1287"/>
      <c r="B8" s="1287"/>
      <c r="C8" s="1287"/>
      <c r="D8" s="1287"/>
      <c r="E8" s="1287"/>
      <c r="F8" s="1287"/>
      <c r="G8" s="1287"/>
    </row>
    <row r="9" spans="1:11" ht="18">
      <c r="A9" s="122"/>
      <c r="B9" s="122"/>
      <c r="C9" s="122"/>
      <c r="D9" s="122"/>
      <c r="E9" s="122"/>
      <c r="F9" s="122"/>
      <c r="G9" s="122"/>
    </row>
    <row r="10" spans="1:11" ht="15.75">
      <c r="B10" s="25" t="s">
        <v>162</v>
      </c>
      <c r="C10" s="25" t="s">
        <v>163</v>
      </c>
      <c r="D10" s="25" t="s">
        <v>164</v>
      </c>
      <c r="E10" s="25" t="s">
        <v>165</v>
      </c>
      <c r="F10" s="25" t="s">
        <v>84</v>
      </c>
      <c r="G10" s="25" t="s">
        <v>85</v>
      </c>
    </row>
    <row r="11" spans="1:11" ht="15.75">
      <c r="B11" s="36"/>
      <c r="C11" s="34"/>
      <c r="D11" s="146"/>
      <c r="E11" s="147"/>
      <c r="F11" s="148" t="s">
        <v>87</v>
      </c>
      <c r="G11" s="25"/>
    </row>
    <row r="12" spans="1:11" ht="15.75">
      <c r="A12" s="39" t="s">
        <v>169</v>
      </c>
      <c r="B12" s="36"/>
      <c r="C12" s="45"/>
      <c r="D12" s="39">
        <f>+TCOS!L4</f>
        <v>2025</v>
      </c>
      <c r="E12" s="148" t="s">
        <v>87</v>
      </c>
      <c r="F12" s="39" t="s">
        <v>115</v>
      </c>
      <c r="G12" s="25"/>
    </row>
    <row r="13" spans="1:11" ht="15.75">
      <c r="A13" s="39" t="s">
        <v>106</v>
      </c>
      <c r="B13" s="39" t="s">
        <v>36</v>
      </c>
      <c r="C13" s="39" t="s">
        <v>167</v>
      </c>
      <c r="D13" s="39" t="s">
        <v>37</v>
      </c>
      <c r="E13" s="39" t="s">
        <v>89</v>
      </c>
      <c r="F13" s="39" t="s">
        <v>38</v>
      </c>
      <c r="G13" s="39" t="s">
        <v>39</v>
      </c>
    </row>
    <row r="14" spans="1:11" ht="15.75">
      <c r="B14" s="39"/>
      <c r="C14" s="39"/>
      <c r="D14" s="39"/>
      <c r="E14" s="39"/>
      <c r="F14" s="39"/>
      <c r="G14" s="39"/>
    </row>
    <row r="15" spans="1:11" ht="15.75">
      <c r="B15" s="39"/>
      <c r="C15" s="39"/>
      <c r="D15" s="39"/>
      <c r="E15" s="39"/>
      <c r="F15" s="39"/>
      <c r="G15" s="39"/>
    </row>
    <row r="16" spans="1:11" ht="15.75">
      <c r="B16" s="39"/>
      <c r="D16" s="39"/>
      <c r="E16" s="39"/>
      <c r="F16" s="39"/>
      <c r="G16" s="39"/>
    </row>
    <row r="17" spans="1:7" ht="15.75">
      <c r="B17" s="39"/>
      <c r="C17" s="39" t="s">
        <v>495</v>
      </c>
      <c r="D17" s="32"/>
      <c r="E17" s="32"/>
      <c r="F17" s="32"/>
      <c r="G17" s="68"/>
    </row>
    <row r="18" spans="1:7">
      <c r="A18" s="44">
        <v>1</v>
      </c>
      <c r="B18" s="619" t="s">
        <v>114</v>
      </c>
      <c r="C18" s="620" t="s">
        <v>114</v>
      </c>
      <c r="D18" s="621">
        <v>0</v>
      </c>
      <c r="E18" s="50"/>
      <c r="F18" s="50"/>
      <c r="G18" s="647"/>
    </row>
    <row r="19" spans="1:7">
      <c r="A19" s="44">
        <v>2</v>
      </c>
      <c r="B19" s="619"/>
      <c r="C19" s="620"/>
      <c r="D19" s="621"/>
      <c r="E19" s="50"/>
      <c r="F19" s="50"/>
      <c r="G19" s="31"/>
    </row>
    <row r="20" spans="1:7">
      <c r="A20" s="44">
        <v>3</v>
      </c>
      <c r="B20" s="619"/>
      <c r="C20" s="620"/>
      <c r="D20" s="621"/>
      <c r="E20" s="50"/>
      <c r="F20" s="50"/>
      <c r="G20" s="31"/>
    </row>
    <row r="21" spans="1:7" ht="15.75">
      <c r="A21" s="44">
        <v>4</v>
      </c>
      <c r="B21" s="39"/>
      <c r="C21" s="172" t="s">
        <v>118</v>
      </c>
      <c r="D21" s="223">
        <f>SUM(D18:D19)</f>
        <v>0</v>
      </c>
      <c r="E21" s="50"/>
      <c r="F21" s="50"/>
      <c r="G21" s="39"/>
    </row>
    <row r="22" spans="1:7" ht="15.75">
      <c r="B22" s="39"/>
      <c r="C22" s="172"/>
      <c r="D22" s="185"/>
      <c r="E22" s="32"/>
      <c r="F22" s="32"/>
      <c r="G22" s="39"/>
    </row>
    <row r="23" spans="1:7" ht="15.75">
      <c r="A23" s="5"/>
      <c r="B23" s="39"/>
      <c r="C23" s="39" t="s">
        <v>49</v>
      </c>
      <c r="D23" s="47"/>
      <c r="E23" s="32"/>
      <c r="F23" s="32"/>
      <c r="G23" s="39"/>
    </row>
    <row r="24" spans="1:7" ht="15.75">
      <c r="A24" s="38">
        <f>+A21+1</f>
        <v>5</v>
      </c>
      <c r="B24" s="15"/>
      <c r="C24" s="181"/>
      <c r="D24" s="822"/>
      <c r="E24" s="32"/>
      <c r="F24" s="32"/>
      <c r="G24" s="39"/>
    </row>
    <row r="25" spans="1:7" ht="15.75">
      <c r="A25" s="220">
        <f>+A24+1</f>
        <v>6</v>
      </c>
      <c r="B25" s="15" t="s">
        <v>50</v>
      </c>
      <c r="C25" s="15" t="s">
        <v>51</v>
      </c>
      <c r="D25" s="622">
        <v>0</v>
      </c>
      <c r="E25" s="32"/>
      <c r="F25" s="32"/>
      <c r="G25" s="39"/>
    </row>
    <row r="26" spans="1:7" ht="15.75">
      <c r="A26" s="38">
        <f>+A25+1</f>
        <v>7</v>
      </c>
      <c r="B26" s="181" t="s">
        <v>52</v>
      </c>
      <c r="C26" s="181" t="s">
        <v>53</v>
      </c>
      <c r="D26" s="622">
        <v>31660.690000000002</v>
      </c>
      <c r="E26" s="32"/>
      <c r="F26" s="32"/>
      <c r="G26" s="39"/>
    </row>
    <row r="27" spans="1:7" ht="15.75">
      <c r="A27" s="220">
        <f t="shared" ref="A27:A32" si="0">+A26+1</f>
        <v>8</v>
      </c>
      <c r="B27" s="15" t="s">
        <v>54</v>
      </c>
      <c r="C27" s="15" t="s">
        <v>55</v>
      </c>
      <c r="D27" s="610">
        <v>-16.09</v>
      </c>
      <c r="E27" s="32"/>
      <c r="F27" s="32"/>
      <c r="G27" s="39"/>
    </row>
    <row r="28" spans="1:7" ht="15.75">
      <c r="A28" s="38">
        <f t="shared" si="0"/>
        <v>9</v>
      </c>
      <c r="B28" s="181" t="s">
        <v>56</v>
      </c>
      <c r="C28" s="181" t="s">
        <v>57</v>
      </c>
      <c r="D28" s="622">
        <v>1226857.5900000001</v>
      </c>
      <c r="E28" s="32"/>
      <c r="F28" s="32"/>
      <c r="G28" s="39"/>
    </row>
    <row r="29" spans="1:7" ht="15.75">
      <c r="A29" s="220">
        <f t="shared" si="0"/>
        <v>10</v>
      </c>
      <c r="B29" s="15" t="s">
        <v>58</v>
      </c>
      <c r="C29" s="15" t="s">
        <v>59</v>
      </c>
      <c r="D29" s="622">
        <v>14578.300000000001</v>
      </c>
      <c r="E29" s="32"/>
      <c r="F29" s="32"/>
      <c r="G29" s="39"/>
    </row>
    <row r="30" spans="1:7" ht="15.75">
      <c r="A30" s="38">
        <f t="shared" si="0"/>
        <v>11</v>
      </c>
      <c r="B30" s="181" t="s">
        <v>60</v>
      </c>
      <c r="C30" s="181" t="s">
        <v>61</v>
      </c>
      <c r="D30" s="622">
        <v>1.02</v>
      </c>
      <c r="E30" s="32"/>
      <c r="F30" s="32"/>
      <c r="G30" s="39"/>
    </row>
    <row r="31" spans="1:7" ht="15.75">
      <c r="A31" s="220">
        <f t="shared" si="0"/>
        <v>12</v>
      </c>
      <c r="B31" s="15" t="s">
        <v>62</v>
      </c>
      <c r="C31" s="15" t="s">
        <v>63</v>
      </c>
      <c r="D31" s="622">
        <v>0</v>
      </c>
      <c r="E31" s="32"/>
      <c r="F31" s="32"/>
      <c r="G31" s="39"/>
    </row>
    <row r="32" spans="1:7" ht="15.75">
      <c r="A32" s="38">
        <f t="shared" si="0"/>
        <v>13</v>
      </c>
      <c r="B32" s="181" t="s">
        <v>64</v>
      </c>
      <c r="C32" s="181" t="s">
        <v>65</v>
      </c>
      <c r="D32" s="622">
        <v>351245.75</v>
      </c>
      <c r="E32" s="32"/>
      <c r="F32" s="32"/>
      <c r="G32" s="39"/>
    </row>
    <row r="33" spans="1:19" ht="15.75">
      <c r="A33" s="44">
        <f>+A32+1</f>
        <v>14</v>
      </c>
      <c r="B33" s="199"/>
      <c r="C33" s="25" t="s">
        <v>66</v>
      </c>
      <c r="D33" s="200">
        <f>SUM(D24:D32)</f>
        <v>1624327.2600000002</v>
      </c>
      <c r="E33" s="32"/>
      <c r="F33" s="32"/>
      <c r="G33" s="39"/>
    </row>
    <row r="34" spans="1:19" ht="15.75">
      <c r="A34" s="168"/>
      <c r="B34" s="49"/>
      <c r="C34" s="39"/>
      <c r="D34" s="39"/>
      <c r="E34" s="39"/>
      <c r="F34" s="39"/>
      <c r="G34" s="39"/>
    </row>
    <row r="35" spans="1:19" ht="15.75">
      <c r="A35" s="168"/>
      <c r="B35" s="38"/>
      <c r="C35" s="74" t="s">
        <v>212</v>
      </c>
      <c r="D35" s="34"/>
      <c r="E35" s="34"/>
      <c r="F35" s="34"/>
      <c r="G35" s="34"/>
    </row>
    <row r="36" spans="1:19">
      <c r="A36" s="44">
        <f>+A33+1</f>
        <v>15</v>
      </c>
      <c r="B36" s="912" t="s">
        <v>865</v>
      </c>
      <c r="C36" s="620" t="s">
        <v>866</v>
      </c>
      <c r="D36" s="913">
        <v>651.39</v>
      </c>
      <c r="E36" s="32">
        <f>D36-F36</f>
        <v>568.04</v>
      </c>
      <c r="F36" s="32">
        <v>83.350000000000009</v>
      </c>
      <c r="G36" s="31" t="s">
        <v>114</v>
      </c>
    </row>
    <row r="37" spans="1:19">
      <c r="A37" s="44">
        <f>+A36+1</f>
        <v>16</v>
      </c>
      <c r="B37" s="619" t="s">
        <v>900</v>
      </c>
      <c r="C37" s="620" t="s">
        <v>903</v>
      </c>
      <c r="D37" s="913">
        <v>0</v>
      </c>
      <c r="E37" s="32">
        <f>D37</f>
        <v>0</v>
      </c>
      <c r="F37" s="32">
        <v>0</v>
      </c>
      <c r="G37" s="31" t="s">
        <v>114</v>
      </c>
    </row>
    <row r="38" spans="1:19">
      <c r="A38" s="44">
        <f>+A37+1</f>
        <v>17</v>
      </c>
      <c r="B38" s="619" t="s">
        <v>901</v>
      </c>
      <c r="C38" s="620" t="s">
        <v>904</v>
      </c>
      <c r="D38" s="913">
        <v>12844.24</v>
      </c>
      <c r="E38" s="32">
        <f>D38</f>
        <v>12844.24</v>
      </c>
      <c r="F38" s="32">
        <v>1530.2</v>
      </c>
      <c r="G38" s="31" t="s">
        <v>114</v>
      </c>
    </row>
    <row r="39" spans="1:19">
      <c r="A39" s="44">
        <f t="shared" ref="A39:A40" si="1">+A38+1</f>
        <v>18</v>
      </c>
      <c r="B39" s="981" t="s">
        <v>1004</v>
      </c>
      <c r="C39" s="620" t="s">
        <v>924</v>
      </c>
      <c r="D39" s="913">
        <v>0</v>
      </c>
      <c r="E39" s="32">
        <f>D39</f>
        <v>0</v>
      </c>
      <c r="F39" s="32">
        <v>0</v>
      </c>
      <c r="G39" s="31" t="s">
        <v>114</v>
      </c>
    </row>
    <row r="40" spans="1:19">
      <c r="A40" s="44">
        <f t="shared" si="1"/>
        <v>19</v>
      </c>
      <c r="B40" s="619" t="s">
        <v>902</v>
      </c>
      <c r="C40" s="620" t="s">
        <v>905</v>
      </c>
      <c r="D40" s="913">
        <v>84400.53</v>
      </c>
      <c r="E40" s="32">
        <f>D40-F40</f>
        <v>80657.02</v>
      </c>
      <c r="F40" s="32">
        <v>3743.51</v>
      </c>
      <c r="G40" s="31"/>
    </row>
    <row r="41" spans="1:19">
      <c r="A41" s="44">
        <f>+A39+1</f>
        <v>19</v>
      </c>
      <c r="B41" s="619">
        <v>9280006</v>
      </c>
      <c r="C41" s="620" t="s">
        <v>1147</v>
      </c>
      <c r="D41" s="913">
        <v>1314571.75</v>
      </c>
      <c r="E41" s="32">
        <f>D41-F41</f>
        <v>1314571.75</v>
      </c>
      <c r="F41" s="32">
        <v>0</v>
      </c>
      <c r="G41" s="34"/>
    </row>
    <row r="42" spans="1:19" ht="15.75" customHeight="1">
      <c r="A42" s="44">
        <f>+A41+1</f>
        <v>20</v>
      </c>
      <c r="B42" s="36"/>
      <c r="C42" s="823" t="s">
        <v>619</v>
      </c>
      <c r="D42" s="46">
        <f>SUM(D36:D41)</f>
        <v>1412467.91</v>
      </c>
      <c r="E42" s="46">
        <f t="shared" ref="E42:F42" si="2">SUM(E36:E41)</f>
        <v>1408641.05</v>
      </c>
      <c r="F42" s="46">
        <f t="shared" si="2"/>
        <v>5357.06</v>
      </c>
      <c r="G42" s="19"/>
    </row>
    <row r="43" spans="1:19" ht="12.75" customHeight="1">
      <c r="B43" s="36"/>
      <c r="C43" s="37"/>
      <c r="D43" s="48"/>
      <c r="E43" s="21"/>
      <c r="F43" s="21"/>
      <c r="G43" s="34"/>
    </row>
    <row r="44" spans="1:19" ht="15.75">
      <c r="B44" s="38"/>
      <c r="C44" s="74" t="s">
        <v>211</v>
      </c>
      <c r="D44" s="21"/>
      <c r="E44" s="21"/>
      <c r="F44" s="21"/>
      <c r="G44" s="34"/>
    </row>
    <row r="45" spans="1:19">
      <c r="A45" s="44">
        <f>+A42+1</f>
        <v>21</v>
      </c>
      <c r="B45" s="912">
        <v>9301000</v>
      </c>
      <c r="C45" s="620" t="s">
        <v>1148</v>
      </c>
      <c r="D45" s="913">
        <v>509.15000000000003</v>
      </c>
      <c r="E45" s="32">
        <f t="shared" ref="E45" si="3">D45-F45</f>
        <v>446.37</v>
      </c>
      <c r="F45" s="32">
        <v>62.78</v>
      </c>
      <c r="G45"/>
      <c r="M45" s="18"/>
      <c r="N45" s="18"/>
      <c r="O45" s="20"/>
      <c r="P45" s="20"/>
      <c r="Q45" s="20"/>
      <c r="R45" s="20"/>
      <c r="S45" s="20"/>
    </row>
    <row r="46" spans="1:19">
      <c r="A46" s="44">
        <f>+A45+1</f>
        <v>22</v>
      </c>
      <c r="B46" s="912" t="s">
        <v>906</v>
      </c>
      <c r="C46" s="620" t="s">
        <v>908</v>
      </c>
      <c r="D46" s="913">
        <v>0</v>
      </c>
      <c r="E46" s="32">
        <f t="shared" ref="E46:E48" si="4">D46-F46</f>
        <v>0</v>
      </c>
      <c r="F46" s="32">
        <v>0</v>
      </c>
      <c r="G46"/>
      <c r="M46" s="18"/>
      <c r="N46" s="18"/>
      <c r="O46" s="20"/>
      <c r="P46" s="20"/>
      <c r="Q46" s="20"/>
      <c r="R46" s="20"/>
      <c r="S46" s="20"/>
    </row>
    <row r="47" spans="1:19">
      <c r="A47" s="44">
        <f t="shared" ref="A47:A60" si="5">+A46+1</f>
        <v>23</v>
      </c>
      <c r="B47" s="619">
        <v>9301009</v>
      </c>
      <c r="C47" s="620" t="s">
        <v>1316</v>
      </c>
      <c r="D47" s="913">
        <v>34.800000000000004</v>
      </c>
      <c r="E47" s="32">
        <f t="shared" si="4"/>
        <v>11.190000000000005</v>
      </c>
      <c r="F47" s="32">
        <v>23.61</v>
      </c>
      <c r="G47"/>
      <c r="M47" s="18"/>
      <c r="N47" s="18"/>
      <c r="O47" s="20"/>
      <c r="P47" s="20"/>
      <c r="Q47" s="20"/>
      <c r="R47" s="20"/>
      <c r="S47" s="20"/>
    </row>
    <row r="48" spans="1:19">
      <c r="A48" s="44">
        <f t="shared" si="5"/>
        <v>24</v>
      </c>
      <c r="B48" s="619" t="s">
        <v>907</v>
      </c>
      <c r="C48" s="620" t="s">
        <v>909</v>
      </c>
      <c r="D48" s="913">
        <v>1837.49</v>
      </c>
      <c r="E48" s="32">
        <f t="shared" si="4"/>
        <v>1837.43</v>
      </c>
      <c r="F48" s="32">
        <v>0.06</v>
      </c>
      <c r="G48"/>
      <c r="M48" s="18"/>
      <c r="N48" s="18"/>
      <c r="O48" s="20"/>
      <c r="P48" s="20"/>
      <c r="Q48" s="20"/>
      <c r="R48" s="20"/>
      <c r="S48" s="20"/>
    </row>
    <row r="49" spans="1:19">
      <c r="A49" s="44">
        <f>+A48+1</f>
        <v>25</v>
      </c>
      <c r="B49" s="619"/>
      <c r="C49" s="620"/>
      <c r="D49" s="913"/>
      <c r="E49" s="32"/>
      <c r="F49" s="32"/>
      <c r="G49"/>
      <c r="M49" s="18"/>
      <c r="N49" s="18"/>
      <c r="O49" s="20"/>
      <c r="P49" s="20"/>
      <c r="Q49" s="20"/>
      <c r="R49" s="20"/>
      <c r="S49" s="20"/>
    </row>
    <row r="50" spans="1:19">
      <c r="A50" s="44">
        <f t="shared" si="5"/>
        <v>26</v>
      </c>
      <c r="B50" s="619"/>
      <c r="C50" s="620"/>
      <c r="D50" s="913"/>
      <c r="E50" s="32"/>
      <c r="F50" s="32"/>
      <c r="G50"/>
      <c r="M50" s="18"/>
      <c r="N50" s="18"/>
      <c r="O50" s="20"/>
      <c r="P50" s="20"/>
      <c r="Q50" s="20"/>
      <c r="R50" s="20"/>
      <c r="S50" s="20"/>
    </row>
    <row r="51" spans="1:19">
      <c r="A51" s="44">
        <f t="shared" si="5"/>
        <v>27</v>
      </c>
      <c r="B51" s="619"/>
      <c r="C51" s="620"/>
      <c r="D51" s="621"/>
      <c r="E51" s="32"/>
      <c r="F51" s="32"/>
      <c r="G51"/>
      <c r="M51" s="18"/>
      <c r="N51" s="18"/>
      <c r="O51" s="20"/>
      <c r="P51" s="20"/>
      <c r="Q51" s="20"/>
      <c r="R51" s="20"/>
      <c r="S51" s="20"/>
    </row>
    <row r="52" spans="1:19" hidden="1">
      <c r="A52" s="44">
        <f t="shared" si="5"/>
        <v>28</v>
      </c>
      <c r="B52" s="619"/>
      <c r="C52" s="620"/>
      <c r="D52" s="621"/>
      <c r="E52" s="32"/>
      <c r="F52" s="32"/>
      <c r="G52"/>
      <c r="M52" s="18"/>
      <c r="N52" s="18"/>
      <c r="O52" s="20"/>
      <c r="P52" s="20"/>
      <c r="Q52" s="20"/>
      <c r="R52" s="20"/>
      <c r="S52" s="20"/>
    </row>
    <row r="53" spans="1:19" hidden="1">
      <c r="A53" s="44">
        <f>A52+1</f>
        <v>29</v>
      </c>
      <c r="B53" s="619"/>
      <c r="C53" s="620"/>
      <c r="D53" s="621"/>
      <c r="E53" s="32"/>
      <c r="F53" s="32"/>
      <c r="G53"/>
      <c r="M53" s="18"/>
      <c r="N53" s="18"/>
      <c r="O53" s="20"/>
      <c r="P53" s="20"/>
      <c r="Q53" s="20"/>
      <c r="R53" s="20"/>
      <c r="S53" s="20"/>
    </row>
    <row r="54" spans="1:19" hidden="1">
      <c r="A54" s="44">
        <f>A53+1</f>
        <v>30</v>
      </c>
      <c r="B54" s="619"/>
      <c r="C54" s="620"/>
      <c r="D54" s="621"/>
      <c r="E54" s="32"/>
      <c r="F54" s="32"/>
      <c r="G54"/>
      <c r="M54" s="18"/>
      <c r="N54" s="18"/>
      <c r="O54" s="20"/>
      <c r="P54" s="20"/>
      <c r="Q54" s="20"/>
      <c r="R54" s="20"/>
      <c r="S54" s="20"/>
    </row>
    <row r="55" spans="1:19" hidden="1">
      <c r="A55" s="44">
        <f>A54+1</f>
        <v>31</v>
      </c>
      <c r="B55" s="619"/>
      <c r="C55" s="620"/>
      <c r="D55" s="621"/>
      <c r="E55" s="32"/>
      <c r="F55" s="32"/>
      <c r="G55"/>
      <c r="M55" s="18"/>
      <c r="N55" s="18"/>
      <c r="O55" s="20"/>
      <c r="P55" s="20"/>
      <c r="Q55" s="20"/>
      <c r="R55" s="20"/>
      <c r="S55" s="20"/>
    </row>
    <row r="56" spans="1:19" hidden="1">
      <c r="A56" s="44">
        <f>A55+1</f>
        <v>32</v>
      </c>
      <c r="B56" s="619"/>
      <c r="C56" s="620"/>
      <c r="D56" s="621"/>
      <c r="E56" s="32"/>
      <c r="F56" s="35"/>
      <c r="G56"/>
      <c r="M56" s="18"/>
      <c r="N56" s="18"/>
      <c r="O56" s="20"/>
      <c r="P56" s="20"/>
      <c r="Q56" s="20"/>
      <c r="R56" s="20"/>
      <c r="S56" s="20"/>
    </row>
    <row r="57" spans="1:19" hidden="1">
      <c r="A57" s="44">
        <f t="shared" si="5"/>
        <v>33</v>
      </c>
      <c r="B57" s="619"/>
      <c r="C57" s="620"/>
      <c r="D57" s="621"/>
      <c r="E57" s="32"/>
      <c r="F57" s="35"/>
      <c r="G57"/>
    </row>
    <row r="58" spans="1:19" hidden="1">
      <c r="A58" s="44">
        <f t="shared" si="5"/>
        <v>34</v>
      </c>
      <c r="B58" s="619"/>
      <c r="C58" s="620"/>
      <c r="D58" s="621"/>
      <c r="E58" s="32"/>
      <c r="F58" s="35"/>
      <c r="G58" s="34"/>
    </row>
    <row r="59" spans="1:19" hidden="1">
      <c r="A59" s="44">
        <f t="shared" si="5"/>
        <v>35</v>
      </c>
      <c r="B59" s="619"/>
      <c r="C59" s="620"/>
      <c r="D59" s="621"/>
      <c r="E59" s="32"/>
      <c r="F59" s="35"/>
      <c r="G59" s="34"/>
    </row>
    <row r="60" spans="1:19" hidden="1">
      <c r="A60" s="44">
        <f t="shared" si="5"/>
        <v>36</v>
      </c>
      <c r="B60" s="619"/>
      <c r="C60" s="620"/>
      <c r="D60" s="621"/>
      <c r="E60" s="32"/>
      <c r="F60" s="35"/>
      <c r="G60" s="34"/>
    </row>
    <row r="61" spans="1:19">
      <c r="B61" s="33"/>
      <c r="C61" s="34"/>
      <c r="D61" s="40"/>
      <c r="E61" s="41"/>
      <c r="F61" s="40"/>
      <c r="G61" s="34"/>
    </row>
    <row r="62" spans="1:19" ht="15.75">
      <c r="A62" s="44">
        <f>A60+1</f>
        <v>37</v>
      </c>
      <c r="B62" s="36"/>
      <c r="C62" s="823" t="s">
        <v>620</v>
      </c>
      <c r="D62" s="42">
        <f>SUM(D45:D61)</f>
        <v>2381.44</v>
      </c>
      <c r="E62" s="42">
        <f>SUM(E45:E61)</f>
        <v>2294.9900000000002</v>
      </c>
      <c r="F62" s="42">
        <f>SUM(F45:F57)</f>
        <v>86.45</v>
      </c>
      <c r="G62" s="19"/>
    </row>
    <row r="63" spans="1:19" ht="12.75" customHeight="1">
      <c r="B63" s="27"/>
      <c r="C63" s="27"/>
      <c r="D63" s="27"/>
      <c r="E63" s="27"/>
      <c r="F63" s="27"/>
      <c r="G63" s="27"/>
    </row>
    <row r="64" spans="1:19" ht="15.75">
      <c r="B64" s="25"/>
      <c r="C64" s="74" t="s">
        <v>210</v>
      </c>
      <c r="D64" s="43"/>
      <c r="E64" s="43"/>
      <c r="F64" s="43"/>
      <c r="G64" s="25"/>
    </row>
    <row r="65" spans="1:11">
      <c r="A65" s="44">
        <f>+A62+1</f>
        <v>38</v>
      </c>
      <c r="B65" s="912" t="s">
        <v>867</v>
      </c>
      <c r="C65" s="620" t="s">
        <v>868</v>
      </c>
      <c r="D65" s="913">
        <v>186264.27</v>
      </c>
      <c r="E65" s="32">
        <f t="shared" ref="E65:E67" si="6">D65-F65</f>
        <v>156543.67999999999</v>
      </c>
      <c r="F65" s="32">
        <v>29720.59</v>
      </c>
      <c r="G65" s="18"/>
      <c r="H65" s="18"/>
      <c r="J65" s="20"/>
      <c r="K65" s="20"/>
    </row>
    <row r="66" spans="1:11">
      <c r="A66" s="44">
        <f>+A65+1</f>
        <v>39</v>
      </c>
      <c r="B66" s="912" t="s">
        <v>869</v>
      </c>
      <c r="C66" s="620" t="s">
        <v>870</v>
      </c>
      <c r="D66" s="913">
        <v>32100.393</v>
      </c>
      <c r="E66" s="32">
        <f t="shared" si="6"/>
        <v>30681.148000000001</v>
      </c>
      <c r="F66" s="32">
        <v>1419.2450000000001</v>
      </c>
      <c r="G66" s="18"/>
      <c r="H66" s="18"/>
      <c r="J66" s="20"/>
      <c r="K66" s="20"/>
    </row>
    <row r="67" spans="1:11">
      <c r="A67" s="44">
        <f>+A66+1</f>
        <v>40</v>
      </c>
      <c r="B67" s="912" t="s">
        <v>871</v>
      </c>
      <c r="C67" s="620" t="s">
        <v>872</v>
      </c>
      <c r="D67" s="913">
        <v>4.38</v>
      </c>
      <c r="E67" s="32">
        <f t="shared" si="6"/>
        <v>4.38</v>
      </c>
      <c r="F67" s="32">
        <v>0</v>
      </c>
      <c r="G67" s="18"/>
      <c r="H67" s="18"/>
      <c r="J67" s="20"/>
      <c r="K67" s="20"/>
    </row>
    <row r="68" spans="1:11">
      <c r="A68" s="44">
        <f>A67+1</f>
        <v>41</v>
      </c>
      <c r="B68" s="912" t="s">
        <v>873</v>
      </c>
      <c r="C68" s="620" t="s">
        <v>874</v>
      </c>
      <c r="D68" s="913">
        <v>63416.28</v>
      </c>
      <c r="E68" s="32">
        <f>D68-F68</f>
        <v>36683.919999999998</v>
      </c>
      <c r="F68" s="32">
        <v>26732.36</v>
      </c>
      <c r="G68" s="18"/>
      <c r="H68" s="18"/>
      <c r="J68" s="20"/>
      <c r="K68" s="20"/>
    </row>
    <row r="69" spans="1:11">
      <c r="A69" s="44">
        <f>+A68+1</f>
        <v>42</v>
      </c>
      <c r="B69" s="912"/>
      <c r="C69" s="620"/>
      <c r="D69" s="914"/>
      <c r="E69" s="1058"/>
      <c r="F69" s="225"/>
      <c r="G69" s="27"/>
    </row>
    <row r="70" spans="1:11">
      <c r="B70" s="224"/>
      <c r="C70" s="226"/>
      <c r="D70" s="226"/>
      <c r="E70" s="27"/>
      <c r="F70" s="27"/>
      <c r="G70" s="27"/>
    </row>
    <row r="71" spans="1:11" ht="15.75">
      <c r="A71" s="44">
        <f>+A69+1</f>
        <v>43</v>
      </c>
      <c r="B71" s="27"/>
      <c r="C71" s="823" t="s">
        <v>621</v>
      </c>
      <c r="D71" s="225">
        <f>SUM(D65:D69)</f>
        <v>281785.32299999997</v>
      </c>
      <c r="E71" s="225">
        <f>SUM(E65:E69)</f>
        <v>223913.12799999997</v>
      </c>
      <c r="F71" s="225">
        <f>SUM(F65:F69)</f>
        <v>57872.195</v>
      </c>
      <c r="G71" s="19"/>
    </row>
    <row r="72" spans="1:11">
      <c r="B72" s="67"/>
      <c r="C72"/>
      <c r="D72" s="222"/>
      <c r="E72"/>
      <c r="F72"/>
      <c r="G72"/>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37"/>
  <sheetViews>
    <sheetView tabSelected="1" view="pageBreakPreview" zoomScaleNormal="100" zoomScaleSheetLayoutView="100" workbookViewId="0">
      <selection activeCell="D3" sqref="D3"/>
    </sheetView>
  </sheetViews>
  <sheetFormatPr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42578125" bestFit="1" customWidth="1"/>
  </cols>
  <sheetData>
    <row r="1" spans="1:15" ht="15.75">
      <c r="A1" s="651" t="s">
        <v>114</v>
      </c>
    </row>
    <row r="2" spans="1:15" ht="15.75">
      <c r="A2" s="651" t="s">
        <v>114</v>
      </c>
    </row>
    <row r="3" spans="1:15" ht="15">
      <c r="A3" s="1254" t="s">
        <v>387</v>
      </c>
      <c r="B3" s="1254"/>
      <c r="C3" s="1254"/>
      <c r="D3" s="1254"/>
      <c r="E3" s="1254"/>
      <c r="F3" s="1254"/>
      <c r="G3" s="1254"/>
      <c r="H3" s="1254"/>
    </row>
    <row r="4" spans="1:15" ht="15">
      <c r="A4" s="1255" t="str">
        <f>"Cost of Service Formula Rate Using Actual/Projected FF1 Balances"</f>
        <v>Cost of Service Formula Rate Using Actual/Projected FF1 Balances</v>
      </c>
      <c r="B4" s="1255"/>
      <c r="C4" s="1255"/>
      <c r="D4" s="1255"/>
      <c r="E4" s="1255"/>
      <c r="F4" s="1255"/>
      <c r="G4" s="1255"/>
      <c r="H4" s="1255"/>
    </row>
    <row r="5" spans="1:15" ht="15">
      <c r="A5" s="1255" t="s">
        <v>526</v>
      </c>
      <c r="B5" s="1255"/>
      <c r="C5" s="1255"/>
      <c r="D5" s="1255"/>
      <c r="E5" s="1255"/>
      <c r="F5" s="1255"/>
      <c r="G5" s="1255"/>
      <c r="H5" s="1255"/>
    </row>
    <row r="6" spans="1:15" ht="15">
      <c r="A6" s="1263" t="str">
        <f>TCOS!F9</f>
        <v>WHEELING POWER COMPANY</v>
      </c>
      <c r="B6" s="1263"/>
      <c r="C6" s="1263"/>
      <c r="D6" s="1263"/>
      <c r="E6" s="1263"/>
      <c r="F6" s="1263"/>
      <c r="G6" s="1263"/>
    </row>
    <row r="7" spans="1:15" ht="12.75" customHeight="1">
      <c r="A7" s="13"/>
      <c r="B7" s="14"/>
      <c r="C7" s="14"/>
      <c r="D7" s="14"/>
      <c r="E7" s="14"/>
      <c r="F7" s="14"/>
      <c r="G7" s="14"/>
      <c r="H7" s="14"/>
      <c r="I7" s="14"/>
      <c r="J7" s="14"/>
      <c r="O7" s="10"/>
    </row>
    <row r="8" spans="1:15" ht="12.75" customHeight="1">
      <c r="A8" s="13"/>
      <c r="B8" s="11" t="s">
        <v>875</v>
      </c>
      <c r="C8" s="26"/>
      <c r="D8" s="29"/>
      <c r="E8" s="1156">
        <v>6.5000000000000002E-2</v>
      </c>
      <c r="F8" s="30"/>
      <c r="G8" s="14"/>
      <c r="H8" s="14"/>
      <c r="I8" s="14"/>
      <c r="J8" s="14"/>
      <c r="O8" s="10"/>
    </row>
    <row r="9" spans="1:15" ht="14.45" customHeight="1">
      <c r="A9" s="13"/>
      <c r="B9" s="11" t="s">
        <v>1164</v>
      </c>
      <c r="C9" s="26"/>
      <c r="D9" s="26"/>
      <c r="E9" s="1157">
        <v>0.95549099999999998</v>
      </c>
      <c r="F9" s="30"/>
      <c r="G9" s="14"/>
      <c r="H9" s="14"/>
      <c r="I9" s="14"/>
      <c r="J9" s="14"/>
      <c r="O9" s="10"/>
    </row>
    <row r="10" spans="1:15" ht="12.75" customHeight="1">
      <c r="A10" s="13"/>
      <c r="B10" s="11" t="s">
        <v>447</v>
      </c>
      <c r="C10" s="26"/>
      <c r="D10" s="26"/>
      <c r="E10" s="30"/>
      <c r="F10" s="30">
        <f>ROUND(E8*E9,6)</f>
        <v>6.2107000000000002E-2</v>
      </c>
      <c r="G10" s="14"/>
      <c r="H10" s="14"/>
      <c r="I10" s="14"/>
      <c r="J10" s="14"/>
      <c r="O10" s="10"/>
    </row>
    <row r="11" spans="1:15" ht="12.75" customHeight="1">
      <c r="A11" s="13"/>
      <c r="B11" s="11"/>
      <c r="C11" s="26"/>
      <c r="D11" s="26"/>
      <c r="E11" s="30"/>
      <c r="F11" s="30"/>
      <c r="G11" s="14"/>
      <c r="H11" s="14"/>
      <c r="I11" s="14"/>
      <c r="J11" s="14"/>
      <c r="O11" s="10"/>
    </row>
    <row r="12" spans="1:15" ht="12.75" customHeight="1">
      <c r="A12" s="13"/>
      <c r="B12" s="11" t="s">
        <v>876</v>
      </c>
      <c r="C12" s="26"/>
      <c r="D12" s="26"/>
      <c r="E12" s="1156">
        <v>9.5000000000000001E-2</v>
      </c>
      <c r="F12" s="30"/>
      <c r="G12" s="14"/>
      <c r="H12" s="14"/>
      <c r="I12" s="14"/>
      <c r="J12" s="14"/>
      <c r="O12" s="10"/>
    </row>
    <row r="13" spans="1:15" ht="12.75" customHeight="1">
      <c r="A13" s="13"/>
      <c r="B13" s="11" t="s">
        <v>1164</v>
      </c>
      <c r="C13" s="26"/>
      <c r="D13" s="26"/>
      <c r="E13" s="1157">
        <v>3.7529999999999998E-3</v>
      </c>
      <c r="F13" s="30"/>
      <c r="G13" s="14"/>
      <c r="H13" s="14"/>
      <c r="I13" s="14"/>
      <c r="J13" s="14"/>
      <c r="O13" s="10"/>
    </row>
    <row r="14" spans="1:15" ht="12.75" customHeight="1">
      <c r="A14" s="13"/>
      <c r="B14" s="11" t="s">
        <v>447</v>
      </c>
      <c r="C14" s="26"/>
      <c r="D14" s="26"/>
      <c r="E14" s="30"/>
      <c r="F14" s="30">
        <f>ROUND(E12*E13,6)</f>
        <v>3.57E-4</v>
      </c>
      <c r="G14" s="14"/>
      <c r="H14" s="14"/>
      <c r="I14" s="14"/>
      <c r="J14" s="14"/>
      <c r="O14" s="10"/>
    </row>
    <row r="15" spans="1:15" ht="12.75" customHeight="1">
      <c r="A15" s="13"/>
      <c r="B15" s="11"/>
      <c r="C15" s="26"/>
      <c r="D15" s="26"/>
      <c r="E15" s="30"/>
      <c r="F15" s="30"/>
      <c r="G15" s="14"/>
      <c r="H15" s="14"/>
      <c r="I15" s="14"/>
      <c r="J15" s="14"/>
      <c r="O15" s="10"/>
    </row>
    <row r="16" spans="1:15" ht="12.75" customHeight="1">
      <c r="A16" s="13"/>
      <c r="B16" s="11" t="s">
        <v>877</v>
      </c>
      <c r="C16" s="26"/>
      <c r="D16" s="29"/>
      <c r="E16" s="1156">
        <v>0.06</v>
      </c>
      <c r="F16" s="30"/>
      <c r="G16" s="14"/>
      <c r="H16" s="14"/>
      <c r="I16" s="14"/>
      <c r="J16" s="14"/>
      <c r="O16" s="10"/>
    </row>
    <row r="17" spans="1:15" ht="12.75" customHeight="1">
      <c r="A17" s="13"/>
      <c r="B17" s="11" t="s">
        <v>1164</v>
      </c>
      <c r="C17" s="26"/>
      <c r="D17" s="26"/>
      <c r="E17" s="1157">
        <v>2.0000000000000001E-4</v>
      </c>
      <c r="F17" s="30"/>
      <c r="G17" s="14"/>
      <c r="H17" s="14"/>
      <c r="I17" s="14"/>
      <c r="J17" s="14"/>
      <c r="O17" s="10"/>
    </row>
    <row r="18" spans="1:15" ht="12.75" customHeight="1">
      <c r="A18" s="13"/>
      <c r="B18" s="11" t="s">
        <v>447</v>
      </c>
      <c r="C18" s="26"/>
      <c r="D18" s="26"/>
      <c r="E18" s="30"/>
      <c r="F18" s="30">
        <f>ROUND(E16*E17,6)</f>
        <v>1.2E-5</v>
      </c>
      <c r="G18" s="14"/>
      <c r="H18" s="14"/>
      <c r="I18" s="14"/>
      <c r="J18" s="14"/>
      <c r="O18" s="10"/>
    </row>
    <row r="19" spans="1:15" ht="12.75" customHeight="1">
      <c r="A19" s="13"/>
      <c r="B19" s="11"/>
      <c r="C19" s="26"/>
      <c r="D19" s="26"/>
      <c r="E19" s="30"/>
      <c r="F19" s="30"/>
      <c r="G19" s="14"/>
      <c r="H19" s="14"/>
      <c r="I19" s="14"/>
      <c r="J19" s="14"/>
      <c r="O19" s="10"/>
    </row>
    <row r="20" spans="1:15" ht="12.75" customHeight="1">
      <c r="A20" s="13"/>
      <c r="B20" s="11" t="s">
        <v>878</v>
      </c>
      <c r="C20" s="26"/>
      <c r="D20" s="26"/>
      <c r="E20" s="1156">
        <v>0.05</v>
      </c>
      <c r="F20" s="30"/>
      <c r="G20" s="14"/>
      <c r="H20" s="14"/>
      <c r="I20" s="14"/>
      <c r="J20" s="14"/>
      <c r="O20" s="10"/>
    </row>
    <row r="21" spans="1:15" ht="12.75" customHeight="1">
      <c r="A21" s="13"/>
      <c r="B21" s="11" t="s">
        <v>1164</v>
      </c>
      <c r="C21" s="26"/>
      <c r="D21" s="26"/>
      <c r="E21" s="1157">
        <v>1E-3</v>
      </c>
      <c r="F21" s="30"/>
      <c r="G21" s="14"/>
      <c r="H21" s="14"/>
      <c r="I21" s="14"/>
      <c r="J21" s="14"/>
      <c r="O21" s="10"/>
    </row>
    <row r="22" spans="1:15" ht="12.75" customHeight="1">
      <c r="A22" s="13"/>
      <c r="B22" s="11" t="s">
        <v>447</v>
      </c>
      <c r="C22" s="26"/>
      <c r="D22" s="26"/>
      <c r="E22" s="30"/>
      <c r="F22" s="30">
        <f>ROUND(+E20*E21,6)</f>
        <v>5.0000000000000002E-5</v>
      </c>
      <c r="G22" s="14"/>
      <c r="H22" s="14"/>
      <c r="I22" s="14"/>
      <c r="J22" s="14"/>
      <c r="O22" s="10"/>
    </row>
    <row r="23" spans="1:15" ht="12.75" customHeight="1">
      <c r="A23" s="13"/>
      <c r="B23" s="11"/>
      <c r="C23" s="26"/>
      <c r="D23" s="26"/>
      <c r="E23" s="30"/>
      <c r="F23" s="30"/>
      <c r="G23" s="14"/>
      <c r="H23" s="14"/>
      <c r="I23" s="14"/>
      <c r="J23" s="14"/>
      <c r="O23" s="10"/>
    </row>
    <row r="24" spans="1:15" ht="12.75" customHeight="1">
      <c r="A24" s="13"/>
      <c r="B24" s="11" t="s">
        <v>879</v>
      </c>
      <c r="C24" s="26"/>
      <c r="D24" s="29"/>
      <c r="E24" s="1156">
        <v>0</v>
      </c>
      <c r="F24" s="30"/>
      <c r="G24" s="14"/>
      <c r="H24" s="14"/>
      <c r="I24" s="14"/>
      <c r="J24" s="14"/>
      <c r="O24" s="10"/>
    </row>
    <row r="25" spans="1:15" ht="12.75" customHeight="1">
      <c r="A25" s="13"/>
      <c r="B25" s="11" t="s">
        <v>1164</v>
      </c>
      <c r="C25" s="26"/>
      <c r="D25" s="26"/>
      <c r="E25" s="1157">
        <v>0</v>
      </c>
      <c r="F25" s="30"/>
      <c r="G25" s="14"/>
      <c r="H25" s="14"/>
      <c r="I25" s="14"/>
      <c r="J25" s="14"/>
      <c r="O25" s="10"/>
    </row>
    <row r="26" spans="1:15" ht="12.75" customHeight="1">
      <c r="A26" s="13"/>
      <c r="B26" s="11" t="s">
        <v>447</v>
      </c>
      <c r="C26" s="26"/>
      <c r="D26" s="26"/>
      <c r="E26" s="30"/>
      <c r="F26" s="30">
        <f>ROUND(E24*E25,6)</f>
        <v>0</v>
      </c>
      <c r="G26" s="14"/>
      <c r="H26" s="14"/>
      <c r="I26" s="14"/>
      <c r="J26" s="14"/>
      <c r="O26" s="10"/>
    </row>
    <row r="27" spans="1:15" ht="12.75" customHeight="1">
      <c r="A27" s="13"/>
      <c r="B27" s="11"/>
      <c r="C27" s="26"/>
      <c r="D27" s="26"/>
      <c r="E27" s="30"/>
      <c r="F27" s="30"/>
      <c r="G27" s="14"/>
      <c r="H27" s="14"/>
      <c r="I27" s="14"/>
      <c r="J27" s="14"/>
      <c r="O27" s="10"/>
    </row>
    <row r="28" spans="1:15" ht="12.75" customHeight="1">
      <c r="A28" s="13"/>
      <c r="B28" s="11" t="s">
        <v>880</v>
      </c>
      <c r="C28" s="26"/>
      <c r="D28" s="29"/>
      <c r="E28" s="1156">
        <v>0</v>
      </c>
      <c r="F28" s="30"/>
      <c r="G28" s="14"/>
      <c r="H28" s="14"/>
      <c r="I28" s="14"/>
      <c r="J28" s="14"/>
      <c r="O28" s="10"/>
    </row>
    <row r="29" spans="1:15" ht="12.75" customHeight="1">
      <c r="A29" s="13"/>
      <c r="B29" s="11" t="s">
        <v>1163</v>
      </c>
      <c r="C29" s="26"/>
      <c r="D29" s="29"/>
      <c r="E29" s="1156">
        <v>0</v>
      </c>
      <c r="F29" s="30"/>
      <c r="G29" s="14"/>
      <c r="H29" s="14"/>
      <c r="I29" s="14"/>
      <c r="J29" s="14"/>
      <c r="O29" s="10"/>
    </row>
    <row r="30" spans="1:15" ht="12.75" customHeight="1">
      <c r="A30" s="13"/>
      <c r="B30" s="11" t="s">
        <v>1164</v>
      </c>
      <c r="C30" s="26"/>
      <c r="D30" s="26"/>
      <c r="E30" s="1157">
        <v>0</v>
      </c>
      <c r="F30" s="30"/>
      <c r="G30" s="14"/>
      <c r="H30" s="14"/>
      <c r="I30" s="14"/>
      <c r="J30" s="14"/>
      <c r="O30" s="10"/>
    </row>
    <row r="31" spans="1:15" ht="12.75" customHeight="1">
      <c r="A31" s="13"/>
      <c r="B31" s="11" t="s">
        <v>447</v>
      </c>
      <c r="C31" s="26"/>
      <c r="D31" s="26"/>
      <c r="E31" s="11"/>
      <c r="F31" s="915">
        <f>ROUND(+E28*E29*E30,6)</f>
        <v>0</v>
      </c>
      <c r="G31" s="14"/>
      <c r="H31" s="14"/>
      <c r="I31" s="14"/>
      <c r="J31" s="14"/>
      <c r="O31" s="10"/>
    </row>
    <row r="32" spans="1:15" ht="12.75" customHeight="1">
      <c r="A32" s="13"/>
      <c r="B32" s="11"/>
      <c r="C32" s="26"/>
      <c r="D32" s="26"/>
      <c r="E32" s="26"/>
      <c r="F32" s="30"/>
      <c r="G32" s="14"/>
      <c r="H32" s="14"/>
      <c r="I32" s="14"/>
      <c r="J32" s="14"/>
      <c r="O32" s="10"/>
    </row>
    <row r="33" spans="1:15" ht="22.35" customHeight="1" thickBot="1">
      <c r="A33" s="13"/>
      <c r="B33" s="11" t="s">
        <v>203</v>
      </c>
      <c r="C33" s="11"/>
      <c r="D33" s="11"/>
      <c r="E33" s="11"/>
      <c r="F33" s="969">
        <f>SUM(F10:F31)</f>
        <v>6.2525999999999998E-2</v>
      </c>
      <c r="G33" s="14"/>
      <c r="H33" s="14"/>
      <c r="I33" s="14"/>
      <c r="J33" s="14"/>
      <c r="O33" s="10"/>
    </row>
    <row r="34" spans="1:15" ht="12.75" customHeight="1" thickTop="1">
      <c r="A34" s="13"/>
      <c r="B34" s="14"/>
      <c r="C34" s="14"/>
      <c r="D34" s="14"/>
      <c r="E34" s="14"/>
      <c r="F34" s="14"/>
      <c r="G34" s="14"/>
      <c r="H34" s="14"/>
      <c r="I34" s="14"/>
      <c r="J34" s="14"/>
      <c r="O34" s="10"/>
    </row>
    <row r="35" spans="1:15" ht="12.75" customHeight="1">
      <c r="B35" s="1289"/>
      <c r="C35" s="1289"/>
      <c r="D35" s="1289"/>
      <c r="E35" s="1289"/>
      <c r="F35" s="1289"/>
      <c r="G35" s="1289"/>
    </row>
    <row r="36" spans="1:15" ht="17.25" customHeight="1">
      <c r="B36" s="1289"/>
      <c r="C36" s="1289"/>
      <c r="D36" s="1289"/>
      <c r="E36" s="1289"/>
      <c r="F36" s="1289"/>
      <c r="G36" s="1289"/>
    </row>
    <row r="37" spans="1:15" ht="18" customHeight="1">
      <c r="A37" s="3" t="s">
        <v>498</v>
      </c>
      <c r="B37" s="3" t="s">
        <v>75</v>
      </c>
      <c r="C37" s="3"/>
      <c r="D37" s="3"/>
      <c r="E37" s="3"/>
      <c r="F37" s="3"/>
      <c r="G37" s="3"/>
    </row>
  </sheetData>
  <mergeCells count="5">
    <mergeCell ref="B35:G36"/>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C58"/>
  <sheetViews>
    <sheetView tabSelected="1" view="pageBreakPreview" topLeftCell="A18" zoomScale="60" zoomScaleNormal="55" workbookViewId="0">
      <selection activeCell="D3" sqref="D3"/>
    </sheetView>
  </sheetViews>
  <sheetFormatPr defaultColWidth="9.140625" defaultRowHeight="15"/>
  <cols>
    <col min="1" max="1" width="7.42578125" style="95" customWidth="1"/>
    <col min="2" max="2" width="1.5703125" style="84" customWidth="1"/>
    <col min="3" max="3" width="62.42578125" style="84" customWidth="1"/>
    <col min="4" max="4" width="19.140625" style="84" customWidth="1"/>
    <col min="5" max="5" width="22.5703125" style="91" bestFit="1" customWidth="1"/>
    <col min="6" max="6" width="1.5703125" style="84" customWidth="1"/>
    <col min="7" max="7" width="27" style="84" customWidth="1"/>
    <col min="8" max="8" width="1.5703125" style="84" customWidth="1"/>
    <col min="9" max="9" width="21.42578125" style="84" customWidth="1"/>
    <col min="10" max="10" width="1.5703125" style="84" customWidth="1"/>
    <col min="11" max="11" width="19.42578125" style="84" bestFit="1" customWidth="1"/>
    <col min="12" max="12" width="3.42578125" style="84" customWidth="1"/>
    <col min="13" max="13" width="22.5703125" style="84" customWidth="1"/>
    <col min="14" max="14" width="1.42578125" style="84" customWidth="1"/>
    <col min="15" max="15" width="22.140625" style="164" customWidth="1"/>
    <col min="16" max="16384" width="9.140625" style="84"/>
  </cols>
  <sheetData>
    <row r="1" spans="1:29" ht="15.75">
      <c r="A1" s="651" t="s">
        <v>114</v>
      </c>
    </row>
    <row r="2" spans="1:29" ht="15.75">
      <c r="A2" s="651" t="s">
        <v>114</v>
      </c>
    </row>
    <row r="3" spans="1:29" ht="18.75" customHeight="1">
      <c r="A3" s="1254" t="s">
        <v>387</v>
      </c>
      <c r="B3" s="1254"/>
      <c r="C3" s="1254"/>
      <c r="D3" s="1254"/>
      <c r="E3" s="1254"/>
      <c r="F3" s="1254"/>
      <c r="G3" s="1254"/>
      <c r="H3" s="1254"/>
      <c r="I3" s="1254"/>
      <c r="J3" s="1254"/>
      <c r="K3" s="1254"/>
      <c r="L3" s="1254"/>
      <c r="M3" s="1254"/>
    </row>
    <row r="4" spans="1:29" ht="18.75" customHeight="1">
      <c r="A4" s="1255" t="str">
        <f>"Cost of Service Formula Rate Using Actual/Projected FF1 Balances"</f>
        <v>Cost of Service Formula Rate Using Actual/Projected FF1 Balances</v>
      </c>
      <c r="B4" s="1255"/>
      <c r="C4" s="1255"/>
      <c r="D4" s="1255"/>
      <c r="E4" s="1255"/>
      <c r="F4" s="1255"/>
      <c r="G4" s="1255"/>
      <c r="H4" s="1255"/>
      <c r="I4" s="1255"/>
      <c r="J4" s="1255"/>
      <c r="K4" s="1255"/>
      <c r="L4" s="1255"/>
      <c r="M4" s="1255"/>
    </row>
    <row r="5" spans="1:29" ht="18.75" customHeight="1">
      <c r="A5" s="1255" t="s">
        <v>238</v>
      </c>
      <c r="B5" s="1255"/>
      <c r="C5" s="1255"/>
      <c r="D5" s="1255"/>
      <c r="E5" s="1255"/>
      <c r="F5" s="1255"/>
      <c r="G5" s="1255"/>
      <c r="H5" s="1255"/>
      <c r="I5" s="1255"/>
      <c r="J5" s="1255"/>
      <c r="K5" s="1255"/>
      <c r="L5" s="1255"/>
      <c r="M5" s="1255"/>
    </row>
    <row r="6" spans="1:29" ht="18.75" customHeight="1">
      <c r="A6" s="1256" t="str">
        <f>+TCOS!F9</f>
        <v>WHEELING POWER COMPANY</v>
      </c>
      <c r="B6" s="1256"/>
      <c r="C6" s="1256"/>
      <c r="D6" s="1256"/>
      <c r="E6" s="1256"/>
      <c r="F6" s="1256"/>
      <c r="G6" s="1256"/>
      <c r="H6" s="1256"/>
      <c r="I6" s="1256"/>
      <c r="J6" s="1256"/>
      <c r="K6" s="1256"/>
      <c r="L6" s="1256"/>
      <c r="M6" s="1256"/>
    </row>
    <row r="7" spans="1:29" ht="18" customHeight="1">
      <c r="A7" s="1263"/>
      <c r="B7" s="1263"/>
      <c r="C7" s="1263"/>
      <c r="D7" s="1263"/>
      <c r="E7" s="1263"/>
      <c r="F7" s="1263"/>
      <c r="G7" s="1263"/>
      <c r="H7" s="1263"/>
      <c r="I7" s="1263"/>
      <c r="J7" s="1263"/>
      <c r="K7" s="1263"/>
      <c r="L7" s="1263"/>
      <c r="M7" s="1263"/>
    </row>
    <row r="8" spans="1:29" ht="18" customHeight="1">
      <c r="A8" s="1287"/>
      <c r="B8" s="1287"/>
      <c r="C8" s="1287"/>
      <c r="D8" s="1287"/>
      <c r="E8" s="1287"/>
      <c r="F8" s="1287"/>
      <c r="G8" s="1287"/>
      <c r="H8" s="1287"/>
      <c r="I8" s="1287"/>
      <c r="J8" s="1287"/>
      <c r="K8" s="1287"/>
      <c r="L8" s="1287"/>
      <c r="M8" s="1287"/>
    </row>
    <row r="9" spans="1:29" ht="18" customHeight="1">
      <c r="A9" s="122"/>
      <c r="B9" s="122"/>
      <c r="C9" s="122"/>
      <c r="D9" s="122"/>
      <c r="E9" s="122"/>
      <c r="F9" s="122"/>
      <c r="G9" s="122"/>
      <c r="H9" s="122"/>
      <c r="I9" s="122"/>
      <c r="J9" s="122"/>
      <c r="K9" s="122"/>
      <c r="L9" s="122"/>
      <c r="M9" s="122"/>
    </row>
    <row r="10" spans="1:29" ht="19.5" customHeight="1">
      <c r="A10" s="86"/>
      <c r="B10" s="85"/>
      <c r="C10" s="25" t="s">
        <v>162</v>
      </c>
      <c r="E10" s="25" t="s">
        <v>163</v>
      </c>
      <c r="G10" s="25" t="s">
        <v>164</v>
      </c>
      <c r="I10" s="25" t="s">
        <v>165</v>
      </c>
      <c r="K10" s="25" t="s">
        <v>84</v>
      </c>
      <c r="M10" s="25" t="s">
        <v>85</v>
      </c>
    </row>
    <row r="11" spans="1:29" ht="18">
      <c r="A11" s="149"/>
      <c r="B11" s="150"/>
      <c r="C11" s="150"/>
      <c r="D11" s="150"/>
      <c r="E11"/>
      <c r="F11"/>
      <c r="G11"/>
      <c r="H11"/>
      <c r="I11"/>
      <c r="J11"/>
      <c r="K11"/>
      <c r="L11"/>
      <c r="M11"/>
      <c r="Q11" s="28"/>
      <c r="R11" s="28"/>
      <c r="S11" s="28"/>
      <c r="T11" s="28"/>
      <c r="U11" s="28"/>
      <c r="V11" s="28"/>
      <c r="W11" s="28"/>
      <c r="X11" s="28"/>
      <c r="Y11" s="28"/>
      <c r="Z11" s="28"/>
      <c r="AA11" s="28"/>
      <c r="AB11" s="28"/>
      <c r="AC11" s="28"/>
    </row>
    <row r="12" spans="1:29" ht="19.5">
      <c r="A12" s="149" t="s">
        <v>169</v>
      </c>
      <c r="B12" s="150"/>
      <c r="C12" s="150"/>
      <c r="D12" s="150"/>
      <c r="E12" s="151" t="s">
        <v>118</v>
      </c>
      <c r="F12" s="149"/>
      <c r="G12" s="149"/>
      <c r="H12" s="149"/>
      <c r="I12" s="149"/>
      <c r="J12" s="149"/>
      <c r="K12" s="90"/>
      <c r="L12" s="90"/>
      <c r="M12" s="152"/>
    </row>
    <row r="13" spans="1:29" ht="19.5">
      <c r="A13" s="153" t="s">
        <v>117</v>
      </c>
      <c r="B13" s="150"/>
      <c r="C13" s="153" t="s">
        <v>306</v>
      </c>
      <c r="D13" s="150"/>
      <c r="E13" s="154" t="s">
        <v>183</v>
      </c>
      <c r="F13" s="149"/>
      <c r="G13" s="153" t="s">
        <v>309</v>
      </c>
      <c r="H13" s="149"/>
      <c r="I13" s="153" t="s">
        <v>161</v>
      </c>
      <c r="J13" s="149"/>
      <c r="K13" s="155" t="s">
        <v>181</v>
      </c>
      <c r="L13" s="156"/>
      <c r="M13" s="155" t="s">
        <v>310</v>
      </c>
    </row>
    <row r="14" spans="1:29" ht="19.5">
      <c r="A14" s="86"/>
      <c r="B14" s="85"/>
      <c r="C14" s="83"/>
      <c r="D14" s="83"/>
      <c r="E14" s="83" t="s">
        <v>68</v>
      </c>
      <c r="F14" s="83"/>
      <c r="G14" s="83"/>
      <c r="H14" s="83"/>
      <c r="I14" s="83"/>
      <c r="J14" s="83"/>
      <c r="K14" s="82"/>
      <c r="L14" s="82"/>
    </row>
    <row r="15" spans="1:29" ht="19.5">
      <c r="A15" s="86"/>
      <c r="B15" s="85"/>
      <c r="C15" s="85"/>
      <c r="D15" s="85"/>
      <c r="E15" s="87"/>
      <c r="F15" s="85"/>
      <c r="G15" s="85"/>
      <c r="H15" s="85"/>
      <c r="I15" s="81"/>
      <c r="J15" s="85"/>
      <c r="K15" s="82"/>
      <c r="L15" s="82"/>
      <c r="M15" s="85"/>
    </row>
    <row r="16" spans="1:29" ht="19.5">
      <c r="A16" s="86">
        <v>1</v>
      </c>
      <c r="B16" s="85"/>
      <c r="C16" s="88" t="s">
        <v>323</v>
      </c>
      <c r="D16" s="85"/>
      <c r="E16" s="82"/>
      <c r="F16" s="82"/>
      <c r="G16" s="89"/>
      <c r="H16" s="89"/>
      <c r="I16" s="89"/>
      <c r="J16" s="89"/>
      <c r="K16" s="89"/>
      <c r="L16" s="89"/>
      <c r="M16" s="89"/>
    </row>
    <row r="17" spans="1:15" ht="19.5">
      <c r="A17" s="86">
        <f>+A16+1</f>
        <v>2</v>
      </c>
      <c r="B17" s="85"/>
      <c r="C17" s="82" t="s">
        <v>307</v>
      </c>
      <c r="D17" s="85"/>
      <c r="E17" s="89">
        <f>'WS H-1-Detail of Tax Amts'!E15</f>
        <v>5</v>
      </c>
      <c r="F17" s="82"/>
      <c r="G17" s="89"/>
      <c r="H17" s="89"/>
      <c r="I17" s="89"/>
      <c r="J17" s="89"/>
      <c r="K17" s="89"/>
      <c r="L17" s="89"/>
      <c r="M17" s="89">
        <f>+E17</f>
        <v>5</v>
      </c>
    </row>
    <row r="18" spans="1:15" ht="19.5">
      <c r="A18" s="86"/>
      <c r="B18" s="85"/>
      <c r="C18" s="90"/>
      <c r="D18" s="85"/>
      <c r="E18" s="82"/>
      <c r="F18" s="82"/>
      <c r="G18" s="89"/>
      <c r="H18" s="89"/>
      <c r="I18" s="89"/>
      <c r="J18" s="89"/>
      <c r="K18" s="89"/>
      <c r="L18" s="89"/>
      <c r="M18" s="89"/>
    </row>
    <row r="19" spans="1:15" ht="18">
      <c r="A19" s="795">
        <f>+A17+1</f>
        <v>3</v>
      </c>
      <c r="B19" s="796"/>
      <c r="C19" s="797" t="s">
        <v>324</v>
      </c>
      <c r="D19" s="796"/>
      <c r="E19" s="796"/>
      <c r="F19" s="796"/>
      <c r="G19" s="798"/>
      <c r="H19" s="794"/>
      <c r="I19" s="794"/>
      <c r="J19" s="794"/>
      <c r="K19" s="794"/>
      <c r="L19" s="794"/>
      <c r="M19" s="794"/>
    </row>
    <row r="20" spans="1:15" ht="18">
      <c r="A20" s="795">
        <f>+A19+1</f>
        <v>4</v>
      </c>
      <c r="B20" s="796"/>
      <c r="C20" s="796" t="s">
        <v>594</v>
      </c>
      <c r="D20" s="796"/>
      <c r="E20" s="798">
        <f>'WS H-1-Detail of Tax Amts'!E27</f>
        <v>6474989.2199999988</v>
      </c>
      <c r="F20" s="796"/>
      <c r="G20" s="798">
        <f>+E20</f>
        <v>6474989.2199999988</v>
      </c>
      <c r="H20" s="794"/>
      <c r="I20" s="794"/>
      <c r="J20" s="794"/>
      <c r="K20" s="794"/>
      <c r="L20" s="794"/>
      <c r="M20" s="794"/>
      <c r="O20"/>
    </row>
    <row r="21" spans="1:15" ht="18">
      <c r="A21" s="795">
        <f>A20+1</f>
        <v>5</v>
      </c>
      <c r="B21" s="796"/>
      <c r="C21" s="796" t="s">
        <v>462</v>
      </c>
      <c r="D21" s="798"/>
      <c r="E21" s="798">
        <f>'WS H-1-Detail of Tax Amts'!E50</f>
        <v>0</v>
      </c>
      <c r="F21" s="796"/>
      <c r="G21" s="798">
        <f>E21</f>
        <v>0</v>
      </c>
      <c r="H21" s="794"/>
      <c r="I21" s="794"/>
      <c r="J21" s="794"/>
      <c r="K21" s="794"/>
      <c r="L21" s="794"/>
      <c r="M21" s="794"/>
      <c r="O21"/>
    </row>
    <row r="22" spans="1:15" ht="19.5">
      <c r="A22" s="86"/>
      <c r="B22" s="85"/>
      <c r="C22" s="90"/>
      <c r="D22" s="85"/>
      <c r="E22" s="82"/>
      <c r="F22" s="82"/>
      <c r="G22" s="89"/>
      <c r="H22" s="89"/>
      <c r="I22" s="89"/>
      <c r="J22" s="89"/>
      <c r="K22" s="89"/>
      <c r="L22" s="89"/>
      <c r="M22" s="89"/>
      <c r="O22" s="165"/>
    </row>
    <row r="23" spans="1:15" ht="19.5">
      <c r="A23" s="86">
        <f>+A21+1</f>
        <v>6</v>
      </c>
      <c r="B23" s="85"/>
      <c r="C23" s="88" t="s">
        <v>325</v>
      </c>
      <c r="D23" s="85"/>
      <c r="E23" s="82"/>
      <c r="F23" s="82"/>
      <c r="G23" s="89"/>
      <c r="H23" s="89"/>
      <c r="I23" s="89"/>
      <c r="J23" s="89"/>
      <c r="K23" s="89"/>
      <c r="L23" s="89"/>
      <c r="M23" s="89"/>
      <c r="O23" s="165"/>
    </row>
    <row r="24" spans="1:15" ht="19.5">
      <c r="A24" s="86">
        <f>+A23+1</f>
        <v>7</v>
      </c>
      <c r="B24" s="85"/>
      <c r="C24" s="85" t="s">
        <v>321</v>
      </c>
      <c r="D24" s="85"/>
      <c r="E24" s="89">
        <f>'WS H-1-Detail of Tax Amts'!E61</f>
        <v>912293.40000000014</v>
      </c>
      <c r="F24" s="82"/>
      <c r="G24" s="89"/>
      <c r="H24" s="89"/>
      <c r="I24" s="89">
        <f>+E24</f>
        <v>912293.40000000014</v>
      </c>
      <c r="J24" s="89"/>
      <c r="K24" s="89"/>
      <c r="L24" s="89"/>
      <c r="M24" s="89"/>
      <c r="O24" s="165"/>
    </row>
    <row r="25" spans="1:15" ht="19.5">
      <c r="A25" s="86">
        <f>+A24+1</f>
        <v>8</v>
      </c>
      <c r="B25" s="85"/>
      <c r="C25" s="85" t="s">
        <v>314</v>
      </c>
      <c r="D25" s="85"/>
      <c r="E25" s="89">
        <f>'WS H-1-Detail of Tax Amts'!E63</f>
        <v>3571.2100000000005</v>
      </c>
      <c r="F25" s="82"/>
      <c r="G25" s="82"/>
      <c r="H25" s="82"/>
      <c r="I25" s="89">
        <f>+E25</f>
        <v>3571.2100000000005</v>
      </c>
      <c r="J25" s="85"/>
      <c r="K25" s="82"/>
      <c r="L25" s="82"/>
      <c r="M25" s="89"/>
    </row>
    <row r="26" spans="1:15" ht="19.5">
      <c r="A26" s="86">
        <f>+A25+1</f>
        <v>9</v>
      </c>
      <c r="B26" s="85"/>
      <c r="C26" s="85" t="s">
        <v>315</v>
      </c>
      <c r="D26" s="85"/>
      <c r="E26" s="89">
        <f>'WS H-1-Detail of Tax Amts'!E65</f>
        <v>13577.710000000001</v>
      </c>
      <c r="F26" s="82"/>
      <c r="G26" s="82"/>
      <c r="H26" s="82"/>
      <c r="I26" s="89">
        <f>+E26</f>
        <v>13577.710000000001</v>
      </c>
      <c r="J26" s="87"/>
      <c r="K26" s="82"/>
      <c r="L26" s="82"/>
      <c r="M26" s="89"/>
    </row>
    <row r="27" spans="1:15" ht="19.5">
      <c r="A27" s="86" t="s">
        <v>114</v>
      </c>
      <c r="B27" s="85"/>
      <c r="C27" s="82"/>
      <c r="D27" s="85"/>
      <c r="E27" s="82"/>
      <c r="F27" s="82"/>
      <c r="G27" s="82"/>
      <c r="H27" s="82"/>
      <c r="I27" s="89"/>
      <c r="J27" s="81"/>
      <c r="K27" s="974"/>
      <c r="L27" s="974"/>
      <c r="M27" s="89"/>
    </row>
    <row r="28" spans="1:15" ht="19.5">
      <c r="A28" s="86">
        <f>A26+1</f>
        <v>10</v>
      </c>
      <c r="B28" s="85"/>
      <c r="C28" s="88" t="s">
        <v>439</v>
      </c>
      <c r="D28" s="85"/>
      <c r="E28" s="82"/>
      <c r="F28" s="82"/>
      <c r="G28" s="82"/>
      <c r="H28" s="82"/>
      <c r="I28" s="89"/>
      <c r="J28" s="81"/>
      <c r="K28" s="974"/>
      <c r="L28" s="974"/>
      <c r="M28" s="89"/>
    </row>
    <row r="29" spans="1:15" ht="19.5">
      <c r="A29" s="86">
        <f>A28+1</f>
        <v>11</v>
      </c>
      <c r="B29" s="85"/>
      <c r="C29" s="82" t="s">
        <v>440</v>
      </c>
      <c r="D29" s="167"/>
      <c r="E29" s="89">
        <f>'WS H-1-Detail of Tax Amts'!E71</f>
        <v>0</v>
      </c>
      <c r="F29" s="82"/>
      <c r="G29" s="82"/>
      <c r="H29" s="82"/>
      <c r="I29" s="89"/>
      <c r="J29" s="81"/>
      <c r="K29" s="974"/>
      <c r="L29" s="974"/>
      <c r="M29" s="89">
        <f>E29</f>
        <v>0</v>
      </c>
    </row>
    <row r="30" spans="1:15" ht="19.5">
      <c r="A30" s="86"/>
      <c r="B30" s="85"/>
      <c r="C30" s="82"/>
      <c r="D30" s="85"/>
      <c r="E30" s="82"/>
      <c r="F30" s="82"/>
      <c r="G30" s="82"/>
      <c r="H30" s="82"/>
      <c r="I30" s="89"/>
      <c r="J30" s="81"/>
      <c r="K30" s="974"/>
      <c r="L30" s="974"/>
      <c r="M30" s="89"/>
    </row>
    <row r="31" spans="1:15" ht="19.5">
      <c r="A31" s="92">
        <f>+A29+1</f>
        <v>12</v>
      </c>
      <c r="B31" s="93"/>
      <c r="C31" s="88" t="s">
        <v>322</v>
      </c>
      <c r="D31" s="975"/>
      <c r="E31" s="82"/>
      <c r="F31" s="82"/>
      <c r="G31" s="89"/>
      <c r="H31" s="89"/>
      <c r="I31" s="89"/>
      <c r="J31" s="89"/>
      <c r="K31" s="89"/>
      <c r="L31" s="89"/>
      <c r="M31" s="89"/>
    </row>
    <row r="32" spans="1:15" ht="19.5">
      <c r="A32" s="92">
        <f>A31+1</f>
        <v>13</v>
      </c>
      <c r="B32" s="93"/>
      <c r="C32" s="82" t="s">
        <v>1005</v>
      </c>
      <c r="D32" s="959"/>
      <c r="E32" s="89">
        <f>'WS H-1-Detail of Tax Amts'!E75</f>
        <v>9102553</v>
      </c>
      <c r="F32" s="82"/>
      <c r="G32" s="89"/>
      <c r="H32" s="89"/>
      <c r="I32" s="89"/>
      <c r="J32" s="89"/>
      <c r="K32" s="89"/>
      <c r="L32" s="89"/>
      <c r="M32" s="89">
        <f>E32</f>
        <v>9102553</v>
      </c>
    </row>
    <row r="33" spans="1:13" ht="19.5">
      <c r="A33" s="86">
        <f>A32+1</f>
        <v>14</v>
      </c>
      <c r="B33" s="85"/>
      <c r="C33" s="82" t="s">
        <v>316</v>
      </c>
      <c r="D33" s="85"/>
      <c r="E33" s="89">
        <f>'WS H-1-Detail of Tax Amts'!E80</f>
        <v>0</v>
      </c>
      <c r="F33" s="82"/>
      <c r="G33" s="89"/>
      <c r="H33" s="89"/>
      <c r="I33" s="89"/>
      <c r="J33" s="89"/>
      <c r="K33" s="89">
        <f>+E33</f>
        <v>0</v>
      </c>
      <c r="L33" s="89"/>
      <c r="M33" s="89"/>
    </row>
    <row r="34" spans="1:13" ht="19.5">
      <c r="A34" s="86">
        <f t="shared" ref="A34:A40" si="0">+A33+1</f>
        <v>15</v>
      </c>
      <c r="B34" s="85"/>
      <c r="C34" s="82" t="s">
        <v>317</v>
      </c>
      <c r="D34" s="14"/>
      <c r="E34" s="89">
        <f>'WS H-1-Detail of Tax Amts'!E84</f>
        <v>0</v>
      </c>
      <c r="F34" s="82"/>
      <c r="G34" s="89"/>
      <c r="H34" s="89"/>
      <c r="I34" s="89"/>
      <c r="J34" s="89"/>
      <c r="K34" s="89">
        <f>+E34</f>
        <v>0</v>
      </c>
      <c r="L34" s="89"/>
      <c r="M34" s="89"/>
    </row>
    <row r="35" spans="1:13" ht="19.5">
      <c r="A35" s="86">
        <f>+A34+1</f>
        <v>16</v>
      </c>
      <c r="B35" s="85"/>
      <c r="C35" s="82" t="s">
        <v>318</v>
      </c>
      <c r="D35" s="14"/>
      <c r="E35" s="89">
        <f>'WS H-1-Detail of Tax Amts'!E94</f>
        <v>0</v>
      </c>
      <c r="F35" s="82"/>
      <c r="G35" s="89"/>
      <c r="H35" s="89"/>
      <c r="I35" s="89"/>
      <c r="J35" s="89"/>
      <c r="K35" s="89">
        <f>+E35</f>
        <v>0</v>
      </c>
      <c r="L35" s="89"/>
      <c r="M35" s="89"/>
    </row>
    <row r="36" spans="1:13" ht="19.5">
      <c r="A36" s="86">
        <f t="shared" si="0"/>
        <v>17</v>
      </c>
      <c r="B36" s="85"/>
      <c r="C36" s="82" t="s">
        <v>319</v>
      </c>
      <c r="D36" s="85"/>
      <c r="E36" s="89">
        <f>'WS H-1-Detail of Tax Amts'!E101</f>
        <v>0</v>
      </c>
      <c r="F36" s="82"/>
      <c r="G36" s="89"/>
      <c r="H36" s="89"/>
      <c r="I36" s="89"/>
      <c r="J36" s="89"/>
      <c r="K36" s="89">
        <f>+E36</f>
        <v>0</v>
      </c>
      <c r="L36" s="89"/>
      <c r="M36" s="89"/>
    </row>
    <row r="37" spans="1:13" ht="19.5">
      <c r="A37" s="86">
        <f t="shared" si="0"/>
        <v>18</v>
      </c>
      <c r="B37" s="85"/>
      <c r="C37" s="82" t="s">
        <v>320</v>
      </c>
      <c r="D37" s="85"/>
      <c r="E37" s="89">
        <f>'WS H-1-Detail of Tax Amts'!E104</f>
        <v>43</v>
      </c>
      <c r="F37" s="82"/>
      <c r="G37" s="89"/>
      <c r="H37" s="89"/>
      <c r="I37" s="89"/>
      <c r="J37" s="89"/>
      <c r="K37" s="89"/>
      <c r="L37" s="89"/>
      <c r="M37" s="89">
        <f>+E37</f>
        <v>43</v>
      </c>
    </row>
    <row r="38" spans="1:13" ht="19.5">
      <c r="A38" s="86">
        <f t="shared" si="0"/>
        <v>19</v>
      </c>
      <c r="B38" s="82"/>
      <c r="C38" s="82" t="s">
        <v>308</v>
      </c>
      <c r="D38" s="82"/>
      <c r="E38" s="89">
        <f>'WS H-1-Detail of Tax Amts'!E108</f>
        <v>0</v>
      </c>
      <c r="F38" s="82"/>
      <c r="G38" s="89"/>
      <c r="H38" s="89"/>
      <c r="I38" s="89"/>
      <c r="J38" s="89"/>
      <c r="K38" s="89"/>
      <c r="L38" s="89"/>
      <c r="M38" s="89">
        <f>+E38</f>
        <v>0</v>
      </c>
    </row>
    <row r="39" spans="1:13" ht="19.5">
      <c r="A39" s="86">
        <f t="shared" si="0"/>
        <v>20</v>
      </c>
      <c r="B39" s="82"/>
      <c r="C39" s="98" t="s">
        <v>1006</v>
      </c>
      <c r="D39" s="82"/>
      <c r="E39" s="89">
        <f>'WS H-1-Detail of Tax Amts'!E111</f>
        <v>0</v>
      </c>
      <c r="F39" s="82"/>
      <c r="G39" s="89"/>
      <c r="H39" s="89"/>
      <c r="I39" s="89"/>
      <c r="J39" s="89"/>
      <c r="K39" s="89"/>
      <c r="L39" s="89"/>
      <c r="M39" s="89">
        <f>+E39</f>
        <v>0</v>
      </c>
    </row>
    <row r="40" spans="1:13" ht="19.5">
      <c r="A40" s="86">
        <f t="shared" si="0"/>
        <v>21</v>
      </c>
      <c r="B40" s="82"/>
      <c r="C40" s="98"/>
      <c r="D40" s="82"/>
      <c r="E40" s="89"/>
      <c r="F40" s="82"/>
      <c r="G40" s="89"/>
      <c r="H40" s="89"/>
      <c r="I40" s="89"/>
      <c r="J40" s="89"/>
      <c r="K40" s="89"/>
      <c r="L40" s="89"/>
      <c r="M40" s="89"/>
    </row>
    <row r="41" spans="1:13" ht="20.25" thickBot="1">
      <c r="A41" s="86">
        <f>A40+1</f>
        <v>22</v>
      </c>
      <c r="B41" s="67"/>
      <c r="C41" s="82" t="s">
        <v>311</v>
      </c>
      <c r="D41" s="14"/>
      <c r="E41" s="97">
        <f>SUM(E17:E39)</f>
        <v>16507032.539999999</v>
      </c>
      <c r="F41" s="82"/>
      <c r="G41" s="97">
        <f>SUM(G17:G39)</f>
        <v>6474989.2199999988</v>
      </c>
      <c r="H41" s="96"/>
      <c r="I41" s="97">
        <f>SUM(I17:I39)</f>
        <v>929442.32000000007</v>
      </c>
      <c r="J41" s="96"/>
      <c r="K41" s="97">
        <f>SUM(K17:K39)</f>
        <v>0</v>
      </c>
      <c r="L41" s="976"/>
      <c r="M41" s="97">
        <f>SUM(M17:M39)</f>
        <v>9102601</v>
      </c>
    </row>
    <row r="42" spans="1:13" ht="20.25" thickTop="1">
      <c r="A42" s="3"/>
      <c r="B42" s="67"/>
      <c r="C42" s="82" t="s">
        <v>381</v>
      </c>
      <c r="D42" s="14"/>
      <c r="E42" s="14"/>
      <c r="F42" s="82"/>
      <c r="G42" s="96"/>
      <c r="H42" s="96"/>
      <c r="I42" s="96"/>
      <c r="J42" s="977"/>
      <c r="K42" s="976"/>
      <c r="L42" s="976"/>
      <c r="M42" s="976"/>
    </row>
    <row r="43" spans="1:13" ht="19.5">
      <c r="A43" s="3"/>
      <c r="B43" s="67"/>
      <c r="C43" s="82" t="s">
        <v>79</v>
      </c>
      <c r="D43" s="14"/>
      <c r="E43" s="14"/>
      <c r="F43" s="82"/>
      <c r="G43" s="96"/>
      <c r="H43" s="96"/>
      <c r="I43" s="96"/>
      <c r="J43" s="977"/>
      <c r="K43" s="976"/>
      <c r="L43" s="976"/>
      <c r="M43" s="976"/>
    </row>
    <row r="44" spans="1:13" ht="19.5">
      <c r="A44" s="3"/>
      <c r="B44" s="67"/>
      <c r="C44" s="1290" t="s">
        <v>461</v>
      </c>
      <c r="D44" s="1290"/>
      <c r="E44" s="1290"/>
      <c r="F44" s="1290"/>
      <c r="G44" s="1290"/>
      <c r="H44" s="1290"/>
      <c r="I44" s="1290"/>
      <c r="J44" s="1290"/>
      <c r="K44" s="1290"/>
      <c r="L44" s="1290"/>
      <c r="M44" s="1290"/>
    </row>
    <row r="45" spans="1:13" ht="19.5">
      <c r="A45" s="86"/>
      <c r="C45" s="82"/>
      <c r="D45" s="82"/>
      <c r="E45" s="99" t="s">
        <v>229</v>
      </c>
      <c r="F45" s="85"/>
      <c r="G45" s="99" t="s">
        <v>333</v>
      </c>
      <c r="H45" s="99"/>
      <c r="I45" s="99" t="s">
        <v>438</v>
      </c>
      <c r="J45" s="99"/>
      <c r="K45" s="99" t="s">
        <v>334</v>
      </c>
      <c r="L45" s="99"/>
      <c r="M45" s="99" t="s">
        <v>118</v>
      </c>
    </row>
    <row r="46" spans="1:13" ht="19.5">
      <c r="A46" s="86">
        <f>+A41+1</f>
        <v>23</v>
      </c>
      <c r="C46" s="188" t="str">
        <f>"Functionalized Net Plant (TCOS, Lns "&amp;TCOS!B94&amp;" thru "&amp;TCOS!B100&amp;")"</f>
        <v>Functionalized Net Plant (TCOS, Lns 41 thru 46)</v>
      </c>
      <c r="D46" s="82"/>
      <c r="E46" s="189">
        <f>TCOS!G94</f>
        <v>718050276.86153841</v>
      </c>
      <c r="F46" s="188"/>
      <c r="G46" s="189">
        <f>+TCOS!G95</f>
        <v>137451194.55615389</v>
      </c>
      <c r="H46" s="188"/>
      <c r="I46" s="189">
        <f>+TCOS!G96</f>
        <v>218963309.38461542</v>
      </c>
      <c r="J46" s="188"/>
      <c r="K46" s="189">
        <f>+TCOS!G97</f>
        <v>16538303.658461535</v>
      </c>
      <c r="L46" s="82"/>
      <c r="M46" s="120">
        <f>SUM(E46:K46)</f>
        <v>1091003084.4607692</v>
      </c>
    </row>
    <row r="47" spans="1:13" ht="19.5">
      <c r="A47" s="86"/>
      <c r="C47" s="90" t="s">
        <v>881</v>
      </c>
      <c r="D47" s="82"/>
      <c r="E47" s="120" t="s">
        <v>114</v>
      </c>
      <c r="F47" s="82"/>
      <c r="G47" s="916"/>
      <c r="H47" s="82"/>
      <c r="I47" s="120"/>
      <c r="J47" s="82"/>
      <c r="K47" s="120"/>
      <c r="L47" s="82"/>
      <c r="M47" s="917"/>
    </row>
    <row r="48" spans="1:13" ht="19.5">
      <c r="A48" s="86">
        <f>+A46+1</f>
        <v>24</v>
      </c>
      <c r="C48" s="82" t="str">
        <f>"Percentage of Plant in "&amp;C47&amp;""</f>
        <v>Percentage of Plant in WEST VA JURISDICTION</v>
      </c>
      <c r="D48" s="82"/>
      <c r="E48" s="918">
        <v>1</v>
      </c>
      <c r="F48" s="978"/>
      <c r="G48" s="918">
        <v>1</v>
      </c>
      <c r="H48" s="978"/>
      <c r="I48" s="918">
        <v>0.99980920231424697</v>
      </c>
      <c r="J48" s="916"/>
      <c r="K48" s="918">
        <v>0.96983672804165799</v>
      </c>
      <c r="L48" s="82"/>
      <c r="M48" s="917"/>
    </row>
    <row r="49" spans="1:21" ht="19.5">
      <c r="A49" s="86">
        <f t="shared" ref="A49:A55" si="1">+A48+1</f>
        <v>25</v>
      </c>
      <c r="C49" s="188" t="str">
        <f>"Net Plant in "&amp;C47&amp;" (Ln "&amp;A46&amp;" * Ln "&amp;A48&amp;")"</f>
        <v>Net Plant in WEST VA JURISDICTION (Ln 23 * Ln 24)</v>
      </c>
      <c r="D49" s="82"/>
      <c r="E49" s="120">
        <f>+E46*E48</f>
        <v>718050276.86153841</v>
      </c>
      <c r="F49" s="82"/>
      <c r="G49" s="120">
        <f>+G46*G48</f>
        <v>137451194.55615389</v>
      </c>
      <c r="H49" s="82"/>
      <c r="I49" s="120">
        <f>+I46*I48</f>
        <v>218921531.69192001</v>
      </c>
      <c r="J49" s="82"/>
      <c r="K49" s="120">
        <f>+K46*K48</f>
        <v>16039454.307481717</v>
      </c>
      <c r="L49" s="82"/>
      <c r="M49" s="120">
        <f>SUM(E49:K49)</f>
        <v>1090462457.417094</v>
      </c>
      <c r="O49"/>
    </row>
    <row r="50" spans="1:21" ht="19.5">
      <c r="A50" s="86">
        <f t="shared" si="1"/>
        <v>26</v>
      </c>
      <c r="C50" s="188" t="s">
        <v>225</v>
      </c>
      <c r="D50" s="82"/>
      <c r="E50" s="1059">
        <v>523297691</v>
      </c>
      <c r="F50" s="82"/>
      <c r="G50" s="161"/>
      <c r="H50" s="82"/>
      <c r="I50" s="161"/>
      <c r="J50" s="82"/>
      <c r="K50" s="161"/>
      <c r="L50" s="82"/>
      <c r="M50" s="120"/>
      <c r="O50"/>
    </row>
    <row r="51" spans="1:21" ht="19.5">
      <c r="A51" s="86">
        <f t="shared" si="1"/>
        <v>27</v>
      </c>
      <c r="C51" s="82" t="str">
        <f>"Taxable Property Basis (Ln "&amp;A49&amp;" - Ln "&amp;A50&amp;")"</f>
        <v>Taxable Property Basis (Ln 25 - Ln 26)</v>
      </c>
      <c r="D51" s="82"/>
      <c r="E51" s="120">
        <f>+E49-E50</f>
        <v>194752585.86153841</v>
      </c>
      <c r="F51" s="82"/>
      <c r="G51" s="120">
        <f>+G49-G50</f>
        <v>137451194.55615389</v>
      </c>
      <c r="H51" s="82"/>
      <c r="I51" s="120">
        <f>+I49-I50</f>
        <v>218921531.69192001</v>
      </c>
      <c r="J51" s="82"/>
      <c r="K51" s="120">
        <f>+K49-K50</f>
        <v>16039454.307481717</v>
      </c>
      <c r="L51" s="82"/>
      <c r="M51" s="120">
        <f>SUM(E51:K51)</f>
        <v>567164766.41709411</v>
      </c>
      <c r="O51"/>
    </row>
    <row r="52" spans="1:21" ht="19.5">
      <c r="A52" s="86">
        <f t="shared" si="1"/>
        <v>28</v>
      </c>
      <c r="C52" s="89" t="s">
        <v>460</v>
      </c>
      <c r="D52" s="82"/>
      <c r="E52" s="919">
        <v>1</v>
      </c>
      <c r="F52" s="979"/>
      <c r="G52" s="919">
        <v>1</v>
      </c>
      <c r="H52" s="979"/>
      <c r="I52" s="919">
        <v>1</v>
      </c>
      <c r="J52" s="920"/>
      <c r="K52" s="919">
        <v>1</v>
      </c>
      <c r="L52" s="82"/>
      <c r="M52" s="157">
        <f>SUM(E52:K52)</f>
        <v>4</v>
      </c>
      <c r="O52"/>
    </row>
    <row r="53" spans="1:21" ht="19.5">
      <c r="A53" s="86">
        <f t="shared" si="1"/>
        <v>29</v>
      </c>
      <c r="C53" s="188" t="str">
        <f>"Weighted Net Plant (Ln "&amp;A51&amp;" * Ln "&amp;A52&amp;")"</f>
        <v>Weighted Net Plant (Ln 27 * Ln 28)</v>
      </c>
      <c r="D53" s="82"/>
      <c r="E53" s="120">
        <f>+E51*E52</f>
        <v>194752585.86153841</v>
      </c>
      <c r="F53" s="82"/>
      <c r="G53" s="120">
        <f>+G51*G52</f>
        <v>137451194.55615389</v>
      </c>
      <c r="H53" s="82"/>
      <c r="I53" s="120">
        <f>+I51*I52</f>
        <v>218921531.69192001</v>
      </c>
      <c r="J53" s="82"/>
      <c r="K53" s="120">
        <f>+K51*K52</f>
        <v>16039454.307481717</v>
      </c>
      <c r="L53" s="82"/>
      <c r="M53" s="120"/>
      <c r="O53"/>
      <c r="P53"/>
      <c r="Q53"/>
      <c r="R53"/>
      <c r="S53"/>
      <c r="T53"/>
      <c r="U53"/>
    </row>
    <row r="54" spans="1:21" ht="19.5">
      <c r="A54" s="86">
        <f t="shared" si="1"/>
        <v>30</v>
      </c>
      <c r="C54" s="82" t="str">
        <f>+"General Plant Allocator (Ln "&amp;A53&amp;" / (Total - General Plant))"</f>
        <v>General Plant Allocator (Ln 29 / (Total - General Plant))</v>
      </c>
      <c r="D54" s="82"/>
      <c r="E54" s="921">
        <f>IF(E52=0,0,+E53/($E53+$G53+$I53))</f>
        <v>0.35337260253218855</v>
      </c>
      <c r="F54" s="82"/>
      <c r="G54" s="921">
        <f>IF(G52=0,0,+G53/($E53+$G53+$I53))</f>
        <v>0.24940098292712143</v>
      </c>
      <c r="H54" s="82"/>
      <c r="I54" s="921">
        <f>IF(I52=0,0,+I53/($E53+$G53+$I53))</f>
        <v>0.39722641454068996</v>
      </c>
      <c r="J54" s="82"/>
      <c r="K54" s="921">
        <v>-1</v>
      </c>
      <c r="L54" s="82"/>
      <c r="M54" s="82"/>
      <c r="O54"/>
      <c r="P54"/>
      <c r="Q54"/>
      <c r="R54"/>
      <c r="S54"/>
      <c r="T54"/>
      <c r="U54"/>
    </row>
    <row r="55" spans="1:21" ht="19.5">
      <c r="A55" s="86">
        <f t="shared" si="1"/>
        <v>31</v>
      </c>
      <c r="C55" s="82" t="str">
        <f>"Functionalized General Plant (Ln "&amp;A54&amp;" * General Plant)"</f>
        <v>Functionalized General Plant (Ln 30 * General Plant)</v>
      </c>
      <c r="D55" s="82"/>
      <c r="E55" s="922">
        <f>ROUND($K53*E54,0)</f>
        <v>5667904</v>
      </c>
      <c r="F55" s="82"/>
      <c r="G55" s="922">
        <f>+G54*K53</f>
        <v>4000255.669900592</v>
      </c>
      <c r="H55" s="82"/>
      <c r="I55" s="922">
        <f>ROUND($K53*I54,0)</f>
        <v>6371295</v>
      </c>
      <c r="J55" s="82"/>
      <c r="K55" s="922">
        <f>ROUND($K53*K54,0)</f>
        <v>-16039454</v>
      </c>
      <c r="L55" s="82"/>
      <c r="M55" s="120">
        <f>IF(SUM(E55:K55)&lt;&gt;0,0,0)</f>
        <v>0</v>
      </c>
      <c r="O55"/>
      <c r="P55"/>
      <c r="Q55"/>
      <c r="R55"/>
      <c r="S55"/>
      <c r="T55"/>
      <c r="U55"/>
    </row>
    <row r="56" spans="1:21" ht="19.5">
      <c r="A56" s="86">
        <f>+A55+1</f>
        <v>32</v>
      </c>
      <c r="C56" s="82" t="str">
        <f>"Weighted "&amp;C47&amp;" Plant (Ln "&amp;A53&amp;" + "&amp;A55&amp;")"</f>
        <v>Weighted WEST VA JURISDICTION Plant (Ln 29 + 31)</v>
      </c>
      <c r="D56" s="82"/>
      <c r="E56" s="120">
        <f>+E53+E55</f>
        <v>200420489.86153841</v>
      </c>
      <c r="F56" s="82"/>
      <c r="G56" s="120">
        <f>+G53+G55</f>
        <v>141451450.22605449</v>
      </c>
      <c r="H56" s="82"/>
      <c r="I56" s="120">
        <f>+I53+I55</f>
        <v>225292826.69192001</v>
      </c>
      <c r="J56" s="82"/>
      <c r="K56" s="120">
        <f>+K53+K55</f>
        <v>0.30748171731829643</v>
      </c>
      <c r="L56" s="82"/>
      <c r="M56" s="120">
        <f>SUM(E56:K56)-SUM(E55:K55)</f>
        <v>567164766.41709411</v>
      </c>
      <c r="O56"/>
    </row>
    <row r="57" spans="1:21" ht="19.5">
      <c r="A57" s="86">
        <f>+A56+1</f>
        <v>33</v>
      </c>
      <c r="C57" s="82" t="str">
        <f>"Functional Percentage (Ln "&amp;A56&amp;"/Total Ln "&amp;A56&amp;")"</f>
        <v>Functional Percentage (Ln 32/Total Ln 32)</v>
      </c>
      <c r="D57" s="82"/>
      <c r="E57" s="916">
        <f>+E56/M56</f>
        <v>0.35337260304027557</v>
      </c>
      <c r="F57" s="82"/>
      <c r="G57" s="923">
        <f>+G56/M56</f>
        <v>0.2494009829271214</v>
      </c>
      <c r="H57" s="82"/>
      <c r="I57" s="916">
        <f>+I56/M56</f>
        <v>0.39722641467160391</v>
      </c>
      <c r="J57" s="82"/>
      <c r="K57" s="14"/>
      <c r="L57" s="82"/>
      <c r="M57" s="120"/>
      <c r="O57"/>
    </row>
    <row r="58" spans="1:21" ht="19.5">
      <c r="A58" s="86"/>
      <c r="C58" s="82"/>
      <c r="D58" s="82"/>
      <c r="E58" s="160"/>
      <c r="F58" s="82"/>
      <c r="G58" s="160"/>
      <c r="H58" s="82"/>
      <c r="I58" s="160"/>
      <c r="J58" s="82"/>
      <c r="K58"/>
      <c r="L58" s="82"/>
      <c r="M58" s="120"/>
      <c r="O58"/>
    </row>
  </sheetData>
  <mergeCells count="7">
    <mergeCell ref="A8:M8"/>
    <mergeCell ref="A7:M7"/>
    <mergeCell ref="C44:M44"/>
    <mergeCell ref="A3:M3"/>
    <mergeCell ref="A4:M4"/>
    <mergeCell ref="A5:M5"/>
    <mergeCell ref="A6:M6"/>
  </mergeCells>
  <phoneticPr fontId="75" type="noConversion"/>
  <pageMargins left="0.59" right="0.84" top="1" bottom="1" header="0.75" footer="0.5"/>
  <pageSetup scale="43" orientation="portrait" r:id="rId1"/>
  <headerFooter alignWithMargins="0">
    <oddHeader>&amp;R&amp;"Arial,Bold"Formula Rate 
&amp;A
Page &amp;P of &amp;N</oddHeader>
  </headerFooter>
  <colBreaks count="1" manualBreakCount="1">
    <brk id="13" min="2" max="9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T127"/>
  <sheetViews>
    <sheetView tabSelected="1" view="pageBreakPreview" topLeftCell="A65" zoomScale="70" zoomScaleNormal="70" zoomScaleSheetLayoutView="70" workbookViewId="0">
      <selection activeCell="D3" sqref="D3"/>
    </sheetView>
  </sheetViews>
  <sheetFormatPr defaultColWidth="9.140625" defaultRowHeight="12.75"/>
  <cols>
    <col min="1" max="1" width="7.42578125" style="95" customWidth="1"/>
    <col min="2" max="2" width="1.5703125" style="84" customWidth="1"/>
    <col min="3" max="3" width="68.5703125" style="84" customWidth="1"/>
    <col min="4" max="4" width="19.140625" style="84" customWidth="1"/>
    <col min="5" max="5" width="20.42578125" style="91" customWidth="1"/>
    <col min="6" max="6" width="20.42578125" style="84" bestFit="1" customWidth="1"/>
    <col min="7" max="7" width="40.42578125" style="84" bestFit="1" customWidth="1"/>
    <col min="8" max="8" width="13" style="84" bestFit="1" customWidth="1"/>
    <col min="9" max="9" width="34" style="84" customWidth="1"/>
    <col min="10" max="16384" width="9.140625" style="84"/>
  </cols>
  <sheetData>
    <row r="1" spans="1:20" ht="15.75">
      <c r="A1" s="651" t="s">
        <v>114</v>
      </c>
    </row>
    <row r="2" spans="1:20" ht="15.75">
      <c r="A2" s="651" t="s">
        <v>114</v>
      </c>
    </row>
    <row r="3" spans="1:20" ht="18.75" customHeight="1">
      <c r="A3" s="1254" t="s">
        <v>387</v>
      </c>
      <c r="B3" s="1254"/>
      <c r="C3" s="1254"/>
      <c r="D3" s="1254"/>
      <c r="E3" s="1254"/>
      <c r="F3" s="1254"/>
    </row>
    <row r="4" spans="1:20" ht="18.75" customHeight="1">
      <c r="A4" s="1255" t="str">
        <f>"Cost of Service Formula Rate Using Actual/Projected FF1 Balances"</f>
        <v>Cost of Service Formula Rate Using Actual/Projected FF1 Balances</v>
      </c>
      <c r="B4" s="1255"/>
      <c r="C4" s="1255"/>
      <c r="D4" s="1255"/>
      <c r="E4" s="1255"/>
      <c r="F4" s="1255"/>
    </row>
    <row r="5" spans="1:20" ht="18.75" customHeight="1">
      <c r="A5" s="1255" t="s">
        <v>217</v>
      </c>
      <c r="B5" s="1255"/>
      <c r="C5" s="1255"/>
      <c r="D5" s="1255"/>
      <c r="E5" s="1255"/>
      <c r="F5" s="1255"/>
    </row>
    <row r="6" spans="1:20" ht="18" customHeight="1">
      <c r="A6" s="1256" t="str">
        <f>TCOS!F9</f>
        <v>WHEELING POWER COMPANY</v>
      </c>
      <c r="B6" s="1255"/>
      <c r="C6" s="1255"/>
      <c r="D6" s="1255"/>
      <c r="E6" s="1255"/>
      <c r="F6" s="1255"/>
    </row>
    <row r="7" spans="1:20" ht="18" customHeight="1">
      <c r="A7" s="1263"/>
      <c r="B7" s="1263"/>
      <c r="C7" s="1263"/>
      <c r="D7" s="1263"/>
      <c r="E7" s="1263"/>
      <c r="F7" s="1263"/>
    </row>
    <row r="8" spans="1:20" ht="19.5" customHeight="1">
      <c r="A8" s="86"/>
      <c r="B8" s="85"/>
      <c r="C8" s="25" t="s">
        <v>162</v>
      </c>
      <c r="E8" s="25" t="s">
        <v>163</v>
      </c>
      <c r="F8" s="25" t="s">
        <v>164</v>
      </c>
      <c r="G8" s="25" t="s">
        <v>165</v>
      </c>
    </row>
    <row r="9" spans="1:20" ht="18">
      <c r="A9" s="149"/>
      <c r="B9" s="150"/>
      <c r="C9" s="150"/>
      <c r="D9" s="150"/>
      <c r="E9"/>
      <c r="F9"/>
      <c r="G9" s="28"/>
      <c r="H9" s="28"/>
      <c r="I9" s="28"/>
      <c r="J9" s="28"/>
      <c r="K9" s="28"/>
      <c r="L9" s="28"/>
      <c r="M9" s="28"/>
      <c r="N9" s="28"/>
      <c r="O9" s="28"/>
      <c r="P9" s="28"/>
      <c r="Q9" s="28"/>
      <c r="R9" s="28"/>
      <c r="S9" s="28"/>
      <c r="T9" s="28"/>
    </row>
    <row r="10" spans="1:20" ht="18">
      <c r="A10" s="149" t="s">
        <v>169</v>
      </c>
      <c r="B10" s="150"/>
      <c r="C10" s="150"/>
      <c r="D10" s="150"/>
      <c r="E10" s="151" t="s">
        <v>118</v>
      </c>
      <c r="F10" s="149" t="s">
        <v>76</v>
      </c>
    </row>
    <row r="11" spans="1:20" ht="18">
      <c r="A11" s="153" t="s">
        <v>117</v>
      </c>
      <c r="B11" s="195"/>
      <c r="C11" s="153" t="s">
        <v>30</v>
      </c>
      <c r="D11" s="800"/>
      <c r="E11" s="154" t="s">
        <v>183</v>
      </c>
      <c r="F11" s="153" t="s">
        <v>77</v>
      </c>
      <c r="G11" s="154" t="s">
        <v>78</v>
      </c>
      <c r="H11" s="800"/>
      <c r="I11" s="800"/>
    </row>
    <row r="12" spans="1:20" ht="18">
      <c r="A12" s="86"/>
      <c r="B12" s="85"/>
      <c r="C12" s="83"/>
      <c r="D12" s="83"/>
      <c r="E12" s="83"/>
      <c r="F12" s="149"/>
      <c r="G12" s="151"/>
      <c r="I12" s="801"/>
    </row>
    <row r="13" spans="1:20" ht="18">
      <c r="A13" s="86"/>
      <c r="B13" s="85"/>
      <c r="C13" s="85"/>
      <c r="D13" s="85"/>
      <c r="E13" s="87"/>
      <c r="F13" s="83"/>
    </row>
    <row r="14" spans="1:20" ht="19.5">
      <c r="A14" s="86">
        <v>1</v>
      </c>
      <c r="B14" s="85"/>
      <c r="C14" s="88" t="s">
        <v>323</v>
      </c>
      <c r="D14" s="85"/>
      <c r="E14" s="82"/>
      <c r="F14" s="85"/>
    </row>
    <row r="15" spans="1:20" ht="19.5">
      <c r="A15" s="86">
        <f>+A14+1</f>
        <v>2</v>
      </c>
      <c r="B15" s="85"/>
      <c r="C15" s="82" t="s">
        <v>307</v>
      </c>
      <c r="D15"/>
      <c r="E15" s="89">
        <f>SUM(F16:F17)</f>
        <v>5</v>
      </c>
      <c r="F15" s="82"/>
    </row>
    <row r="16" spans="1:20" ht="19.5">
      <c r="A16" s="86"/>
      <c r="B16" s="85"/>
      <c r="C16" s="90"/>
      <c r="D16"/>
      <c r="E16" s="82"/>
      <c r="F16" s="623">
        <v>5</v>
      </c>
      <c r="G16" s="624" t="s">
        <v>1349</v>
      </c>
    </row>
    <row r="17" spans="1:9" ht="19.5">
      <c r="A17" s="86"/>
      <c r="B17" s="85"/>
      <c r="C17" s="90"/>
      <c r="D17"/>
      <c r="E17" s="82"/>
      <c r="F17" s="623"/>
      <c r="G17" s="624"/>
    </row>
    <row r="18" spans="1:9" ht="19.5">
      <c r="A18" s="86"/>
      <c r="B18" s="85"/>
      <c r="C18" s="90"/>
      <c r="D18"/>
      <c r="E18" s="82"/>
    </row>
    <row r="19" spans="1:9" ht="18" customHeight="1">
      <c r="A19" s="86"/>
      <c r="B19" s="85"/>
      <c r="C19" s="90"/>
      <c r="D19"/>
      <c r="E19" s="82"/>
    </row>
    <row r="20" spans="1:9" ht="18" customHeight="1">
      <c r="A20" s="86"/>
      <c r="B20" s="85"/>
      <c r="C20" s="90"/>
      <c r="D20"/>
      <c r="E20" s="82"/>
      <c r="F20" s="623"/>
      <c r="G20" s="624"/>
    </row>
    <row r="21" spans="1:9" ht="18" customHeight="1">
      <c r="A21" s="86"/>
      <c r="B21" s="85"/>
      <c r="C21" s="90"/>
      <c r="D21"/>
      <c r="E21" s="82"/>
      <c r="F21" s="653"/>
      <c r="G21" s="654"/>
    </row>
    <row r="22" spans="1:9" ht="18" customHeight="1">
      <c r="A22" s="86"/>
      <c r="B22" s="85"/>
      <c r="C22" s="25" t="s">
        <v>162</v>
      </c>
      <c r="D22" s="25" t="s">
        <v>163</v>
      </c>
      <c r="E22" s="25" t="s">
        <v>164</v>
      </c>
      <c r="F22" s="25" t="s">
        <v>165</v>
      </c>
      <c r="G22" s="25" t="s">
        <v>84</v>
      </c>
      <c r="H22" s="825" t="s">
        <v>85</v>
      </c>
      <c r="I22" s="25" t="s">
        <v>86</v>
      </c>
    </row>
    <row r="23" spans="1:9" ht="58.5" customHeight="1">
      <c r="A23" s="153"/>
      <c r="B23" s="195"/>
      <c r="C23" s="826" t="s">
        <v>747</v>
      </c>
      <c r="D23" s="827" t="s">
        <v>665</v>
      </c>
      <c r="E23" s="828" t="s">
        <v>745</v>
      </c>
      <c r="F23" s="829" t="s">
        <v>746</v>
      </c>
      <c r="G23" s="830" t="s">
        <v>78</v>
      </c>
      <c r="H23" s="828" t="s">
        <v>810</v>
      </c>
      <c r="I23" s="829" t="s">
        <v>744</v>
      </c>
    </row>
    <row r="24" spans="1:9" ht="19.5">
      <c r="A24" s="86"/>
      <c r="B24" s="85"/>
      <c r="C24" s="90"/>
      <c r="D24" s="3"/>
      <c r="E24" s="82"/>
      <c r="F24" s="89"/>
      <c r="G24" s="196"/>
    </row>
    <row r="25" spans="1:9" ht="39">
      <c r="A25" s="789">
        <f>+A15+1</f>
        <v>3</v>
      </c>
      <c r="B25" s="790"/>
      <c r="C25" s="824" t="s">
        <v>743</v>
      </c>
      <c r="D25" s="831"/>
      <c r="E25" s="832">
        <f>E27+E33+E44+E50</f>
        <v>6474989.2199999988</v>
      </c>
      <c r="F25" s="833"/>
      <c r="G25" s="802"/>
      <c r="H25" s="834"/>
      <c r="I25" s="832">
        <f>I27+I33+I44+I50</f>
        <v>1750026.4801505413</v>
      </c>
    </row>
    <row r="26" spans="1:9" ht="19.5">
      <c r="A26" s="86"/>
      <c r="B26" s="85"/>
      <c r="C26" s="88"/>
      <c r="D26"/>
      <c r="E26" s="82"/>
      <c r="F26" s="197"/>
      <c r="G26" s="196"/>
      <c r="H26" s="791"/>
      <c r="I26" s="792"/>
    </row>
    <row r="27" spans="1:9" ht="19.5">
      <c r="A27" s="86">
        <f>+A25+1</f>
        <v>4</v>
      </c>
      <c r="B27" s="85"/>
      <c r="C27" s="793" t="s">
        <v>594</v>
      </c>
      <c r="D27"/>
      <c r="E27" s="89">
        <f>SUM(F28:F32)</f>
        <v>6474989.2199999988</v>
      </c>
      <c r="F27" s="197"/>
      <c r="G27" s="196"/>
      <c r="H27" s="85"/>
      <c r="I27" s="788">
        <f>SUM(I28:I32)</f>
        <v>1750026.4801505413</v>
      </c>
    </row>
    <row r="28" spans="1:9" ht="19.5">
      <c r="A28" s="86"/>
      <c r="B28" s="85"/>
      <c r="C28" s="793"/>
      <c r="D28" s="973">
        <v>2023</v>
      </c>
      <c r="E28" s="89"/>
      <c r="F28" s="623">
        <v>3453808.57</v>
      </c>
      <c r="G28" s="624" t="s">
        <v>630</v>
      </c>
      <c r="H28" s="786">
        <v>0.28398456969130587</v>
      </c>
      <c r="I28" s="838">
        <f>+F28*H28</f>
        <v>980828.34054759436</v>
      </c>
    </row>
    <row r="29" spans="1:9" ht="19.5">
      <c r="A29" s="86"/>
      <c r="B29" s="85"/>
      <c r="C29" s="793"/>
      <c r="D29" s="973">
        <v>2024</v>
      </c>
      <c r="E29" s="89"/>
      <c r="F29" s="623">
        <v>3005902.6499999994</v>
      </c>
      <c r="G29" s="624" t="s">
        <v>630</v>
      </c>
      <c r="H29" s="786">
        <v>0.2546282699427363</v>
      </c>
      <c r="I29" s="838">
        <f>+F29*H29</f>
        <v>765387.79138578626</v>
      </c>
    </row>
    <row r="30" spans="1:9" ht="19.5">
      <c r="A30" s="86"/>
      <c r="B30" s="85"/>
      <c r="C30" s="793"/>
      <c r="D30" s="973">
        <v>2025</v>
      </c>
      <c r="E30" s="89"/>
      <c r="F30" s="623">
        <v>15278</v>
      </c>
      <c r="G30" s="624" t="s">
        <v>630</v>
      </c>
      <c r="H30" s="786">
        <f>'WS H Other Taxes'!G57</f>
        <v>0.2494009829271214</v>
      </c>
      <c r="I30" s="838">
        <f>+F30*H30</f>
        <v>3810.3482171605606</v>
      </c>
    </row>
    <row r="31" spans="1:9" ht="19.5">
      <c r="A31" s="86"/>
      <c r="B31" s="85"/>
      <c r="C31" s="793"/>
      <c r="D31" s="973"/>
      <c r="E31" s="89"/>
      <c r="F31" s="623"/>
      <c r="G31" s="624"/>
      <c r="H31" s="786"/>
      <c r="I31" s="838">
        <f>F31*H31</f>
        <v>0</v>
      </c>
    </row>
    <row r="32" spans="1:9" ht="19.5">
      <c r="A32" s="86"/>
      <c r="B32" s="85"/>
      <c r="C32" s="793"/>
      <c r="D32" s="623"/>
      <c r="E32" s="89"/>
      <c r="F32" s="623"/>
      <c r="G32" s="624"/>
      <c r="H32" s="786"/>
      <c r="I32" s="838">
        <f>F32*H32</f>
        <v>0</v>
      </c>
    </row>
    <row r="33" spans="1:9" ht="19.5">
      <c r="A33" s="86">
        <f>+A27+1</f>
        <v>5</v>
      </c>
      <c r="B33" s="85"/>
      <c r="C33" s="793" t="s">
        <v>882</v>
      </c>
      <c r="D33"/>
      <c r="E33" s="89">
        <f>SUM(F34:F40)</f>
        <v>0</v>
      </c>
      <c r="F33" s="89"/>
      <c r="G33" s="196"/>
      <c r="I33" s="839">
        <f>SUM(I34:I42)</f>
        <v>0</v>
      </c>
    </row>
    <row r="34" spans="1:9" ht="19.5">
      <c r="A34" s="86"/>
      <c r="B34" s="85"/>
      <c r="C34" s="793"/>
      <c r="D34" s="623"/>
      <c r="E34" s="89"/>
      <c r="F34" s="623">
        <v>0</v>
      </c>
      <c r="G34" s="624"/>
      <c r="H34" s="787">
        <f>TCOS!J77</f>
        <v>9.351570482586892E-2</v>
      </c>
      <c r="I34" s="838">
        <f>F34*H34</f>
        <v>0</v>
      </c>
    </row>
    <row r="35" spans="1:9" ht="19.5">
      <c r="A35" s="86"/>
      <c r="B35" s="85"/>
      <c r="C35" s="793"/>
      <c r="D35" s="623"/>
      <c r="E35" s="89"/>
      <c r="F35" s="623"/>
      <c r="G35" s="624"/>
      <c r="H35" s="624"/>
      <c r="I35" s="838">
        <f t="shared" ref="I35:I42" si="0">F35*H35</f>
        <v>0</v>
      </c>
    </row>
    <row r="36" spans="1:9" ht="19.5">
      <c r="A36" s="86"/>
      <c r="B36" s="85"/>
      <c r="C36" s="793"/>
      <c r="D36" s="623"/>
      <c r="E36" s="89"/>
      <c r="F36" s="623"/>
      <c r="G36" s="624"/>
      <c r="H36" s="624"/>
      <c r="I36" s="838">
        <f t="shared" si="0"/>
        <v>0</v>
      </c>
    </row>
    <row r="37" spans="1:9" ht="19.5">
      <c r="A37" s="86"/>
      <c r="B37" s="85"/>
      <c r="C37" s="793"/>
      <c r="D37" s="623"/>
      <c r="E37" s="89"/>
      <c r="F37" s="623"/>
      <c r="G37" s="624"/>
      <c r="H37" s="624"/>
      <c r="I37" s="838">
        <f t="shared" si="0"/>
        <v>0</v>
      </c>
    </row>
    <row r="38" spans="1:9" ht="19.5">
      <c r="A38" s="86"/>
      <c r="B38" s="85"/>
      <c r="C38" s="793"/>
      <c r="D38" s="623"/>
      <c r="E38" s="89"/>
      <c r="F38" s="623"/>
      <c r="G38" s="624"/>
      <c r="H38" s="624"/>
      <c r="I38" s="838">
        <f t="shared" si="0"/>
        <v>0</v>
      </c>
    </row>
    <row r="39" spans="1:9" ht="19.5">
      <c r="A39" s="86"/>
      <c r="B39" s="85"/>
      <c r="C39" s="793"/>
      <c r="D39" s="623"/>
      <c r="E39" s="89"/>
      <c r="F39" s="623"/>
      <c r="G39" s="624"/>
      <c r="H39" s="624"/>
      <c r="I39" s="838">
        <f t="shared" si="0"/>
        <v>0</v>
      </c>
    </row>
    <row r="40" spans="1:9" ht="19.5">
      <c r="A40" s="86"/>
      <c r="B40" s="85"/>
      <c r="C40" s="793"/>
      <c r="D40" s="623"/>
      <c r="E40" s="89"/>
      <c r="F40" s="623"/>
      <c r="G40" s="624"/>
      <c r="H40" s="624"/>
      <c r="I40" s="838">
        <f t="shared" si="0"/>
        <v>0</v>
      </c>
    </row>
    <row r="41" spans="1:9" ht="19.5">
      <c r="A41" s="86"/>
      <c r="B41" s="85"/>
      <c r="C41" s="793"/>
      <c r="D41" s="623"/>
      <c r="E41" s="89"/>
      <c r="F41" s="623"/>
      <c r="G41" s="624"/>
      <c r="H41" s="624"/>
      <c r="I41" s="838">
        <f t="shared" si="0"/>
        <v>0</v>
      </c>
    </row>
    <row r="42" spans="1:9" ht="19.5">
      <c r="A42" s="86"/>
      <c r="B42" s="85"/>
      <c r="C42" s="793"/>
      <c r="D42" s="623"/>
      <c r="E42" s="89"/>
      <c r="F42" s="623"/>
      <c r="G42" s="624"/>
      <c r="H42" s="624"/>
      <c r="I42" s="838">
        <f t="shared" si="0"/>
        <v>0</v>
      </c>
    </row>
    <row r="43" spans="1:9" ht="19.5">
      <c r="A43" s="86"/>
      <c r="B43" s="85"/>
      <c r="C43" s="793"/>
      <c r="D43" s="85"/>
      <c r="E43" s="89"/>
      <c r="F43" s="3"/>
      <c r="G43" s="228"/>
    </row>
    <row r="44" spans="1:9" ht="19.5">
      <c r="A44" s="86">
        <f>+A33+1</f>
        <v>6</v>
      </c>
      <c r="B44" s="85"/>
      <c r="C44" s="793" t="s">
        <v>593</v>
      </c>
      <c r="D44" s="167"/>
      <c r="E44" s="89">
        <f>SUM(F45:F48)</f>
        <v>0</v>
      </c>
      <c r="F44" s="82" t="s">
        <v>114</v>
      </c>
      <c r="G44" s="228" t="s">
        <v>114</v>
      </c>
      <c r="I44" s="839">
        <f>SUM(I45:I49)</f>
        <v>0</v>
      </c>
    </row>
    <row r="45" spans="1:9" ht="19.5">
      <c r="A45" s="86"/>
      <c r="B45" s="85"/>
      <c r="C45" s="793"/>
      <c r="D45" s="623"/>
      <c r="E45" s="89"/>
      <c r="F45" s="623"/>
      <c r="G45" s="624"/>
      <c r="H45" s="787"/>
      <c r="I45" s="838">
        <f>F45*H45</f>
        <v>0</v>
      </c>
    </row>
    <row r="46" spans="1:9" ht="19.5">
      <c r="A46" s="86"/>
      <c r="B46" s="85"/>
      <c r="C46" s="793"/>
      <c r="D46" s="623"/>
      <c r="E46" s="89"/>
      <c r="F46" s="623"/>
      <c r="G46" s="624"/>
      <c r="H46" s="624"/>
      <c r="I46" s="838">
        <f>F46*H46</f>
        <v>0</v>
      </c>
    </row>
    <row r="47" spans="1:9" ht="19.5">
      <c r="A47" s="86"/>
      <c r="B47" s="85"/>
      <c r="C47" s="793"/>
      <c r="D47" s="623"/>
      <c r="E47" s="89"/>
      <c r="F47" s="623"/>
      <c r="G47" s="624"/>
      <c r="H47" s="624"/>
      <c r="I47" s="838">
        <f>F47*H47</f>
        <v>0</v>
      </c>
    </row>
    <row r="48" spans="1:9" ht="19.5">
      <c r="A48" s="86"/>
      <c r="B48" s="85"/>
      <c r="C48" s="793"/>
      <c r="D48" s="623"/>
      <c r="E48" s="89"/>
      <c r="F48" s="623"/>
      <c r="G48" s="624"/>
      <c r="H48" s="624"/>
      <c r="I48" s="838">
        <f>F48*H48</f>
        <v>0</v>
      </c>
    </row>
    <row r="49" spans="1:9" ht="19.5">
      <c r="A49" s="86"/>
      <c r="B49" s="85"/>
      <c r="C49" s="793"/>
      <c r="D49" s="623"/>
      <c r="E49" s="89"/>
      <c r="F49" s="623"/>
      <c r="G49" s="624"/>
      <c r="H49" s="624"/>
      <c r="I49" s="838">
        <f>F49*H49</f>
        <v>0</v>
      </c>
    </row>
    <row r="50" spans="1:9" ht="19.5">
      <c r="A50" s="86"/>
      <c r="B50" s="85"/>
      <c r="C50" s="793"/>
      <c r="D50" s="167"/>
      <c r="E50" s="89">
        <f>SUM(F51:F53)</f>
        <v>0</v>
      </c>
      <c r="F50" s="227"/>
      <c r="G50" s="228"/>
      <c r="I50" s="839">
        <f>SUM(I51:I53)</f>
        <v>0</v>
      </c>
    </row>
    <row r="51" spans="1:9" ht="19.5">
      <c r="A51" s="86">
        <f>A44+1</f>
        <v>7</v>
      </c>
      <c r="B51" s="85"/>
      <c r="C51" s="793" t="s">
        <v>462</v>
      </c>
      <c r="D51" s="623"/>
      <c r="E51" s="89"/>
      <c r="F51" s="623"/>
      <c r="G51" s="624"/>
      <c r="H51" s="624"/>
      <c r="I51" s="838">
        <f>F51*H51</f>
        <v>0</v>
      </c>
    </row>
    <row r="52" spans="1:9" ht="19.5">
      <c r="A52" s="86"/>
      <c r="B52" s="85"/>
      <c r="C52" s="85"/>
      <c r="D52" s="623"/>
      <c r="E52" s="89"/>
      <c r="F52" s="623"/>
      <c r="G52" s="624"/>
      <c r="H52" s="624"/>
      <c r="I52" s="838">
        <f>F52*H52</f>
        <v>0</v>
      </c>
    </row>
    <row r="53" spans="1:9" ht="19.5">
      <c r="A53" s="86"/>
      <c r="B53" s="85"/>
      <c r="C53" s="85"/>
      <c r="D53" s="623"/>
      <c r="E53" s="89"/>
      <c r="F53" s="623"/>
      <c r="G53" s="624"/>
      <c r="H53" s="624"/>
      <c r="I53" s="838">
        <f>F53*H53</f>
        <v>0</v>
      </c>
    </row>
    <row r="54" spans="1:9" ht="19.5">
      <c r="A54" s="803"/>
      <c r="B54" s="804"/>
      <c r="C54" s="804"/>
      <c r="D54" s="805"/>
      <c r="E54" s="806"/>
      <c r="F54" s="805"/>
      <c r="G54" s="807"/>
      <c r="H54" s="807"/>
      <c r="I54" s="808"/>
    </row>
    <row r="55" spans="1:9" ht="19.5">
      <c r="A55" s="86"/>
      <c r="B55" s="85"/>
      <c r="C55" s="85"/>
      <c r="D55" s="167"/>
      <c r="E55" s="89"/>
      <c r="F55" s="227"/>
      <c r="G55" s="228"/>
    </row>
    <row r="56" spans="1:9" ht="18">
      <c r="A56" s="86"/>
      <c r="B56" s="85"/>
      <c r="C56" s="25" t="s">
        <v>162</v>
      </c>
      <c r="E56" s="25" t="s">
        <v>163</v>
      </c>
      <c r="F56" s="25" t="s">
        <v>164</v>
      </c>
      <c r="G56" s="25" t="s">
        <v>165</v>
      </c>
    </row>
    <row r="57" spans="1:9" ht="18">
      <c r="A57" s="149"/>
      <c r="B57" s="150"/>
      <c r="C57" s="150"/>
      <c r="D57" s="150"/>
      <c r="E57"/>
      <c r="F57"/>
      <c r="G57" s="28"/>
    </row>
    <row r="58" spans="1:9" ht="18">
      <c r="A58" s="149" t="s">
        <v>169</v>
      </c>
      <c r="B58" s="150"/>
      <c r="C58" s="150"/>
      <c r="D58" s="150"/>
      <c r="E58" s="151" t="s">
        <v>118</v>
      </c>
      <c r="F58" s="149" t="s">
        <v>76</v>
      </c>
    </row>
    <row r="59" spans="1:9" ht="18">
      <c r="A59" s="153" t="s">
        <v>117</v>
      </c>
      <c r="B59" s="195"/>
      <c r="C59" s="153" t="s">
        <v>30</v>
      </c>
      <c r="D59" s="800"/>
      <c r="E59" s="154" t="s">
        <v>183</v>
      </c>
      <c r="F59" s="153" t="s">
        <v>77</v>
      </c>
      <c r="G59" s="154" t="s">
        <v>78</v>
      </c>
    </row>
    <row r="60" spans="1:9" ht="19.5">
      <c r="A60" s="86">
        <f>+A51+1</f>
        <v>8</v>
      </c>
      <c r="B60" s="85"/>
      <c r="C60" s="88" t="s">
        <v>325</v>
      </c>
      <c r="D60" s="85"/>
      <c r="E60" s="82"/>
      <c r="F60" s="85" t="s">
        <v>114</v>
      </c>
      <c r="G60" s="196"/>
    </row>
    <row r="61" spans="1:9" ht="19.5">
      <c r="A61" s="86">
        <f>+A60+1</f>
        <v>9</v>
      </c>
      <c r="B61" s="85"/>
      <c r="C61" s="85" t="s">
        <v>321</v>
      </c>
      <c r="D61" s="85"/>
      <c r="E61" s="89">
        <f>SUM(F62)</f>
        <v>912293.40000000014</v>
      </c>
      <c r="F61" s="198"/>
      <c r="G61" s="196"/>
    </row>
    <row r="62" spans="1:9" ht="19.5">
      <c r="A62" s="86"/>
      <c r="B62" s="85"/>
      <c r="C62" s="85"/>
      <c r="D62" s="85"/>
      <c r="E62" s="89"/>
      <c r="F62" s="623">
        <v>912293.40000000014</v>
      </c>
      <c r="G62" s="624" t="s">
        <v>630</v>
      </c>
    </row>
    <row r="63" spans="1:9" ht="19.5">
      <c r="A63" s="86">
        <f>+A61+1</f>
        <v>10</v>
      </c>
      <c r="B63" s="85"/>
      <c r="C63" s="85" t="s">
        <v>314</v>
      </c>
      <c r="D63" s="85"/>
      <c r="E63" s="89">
        <f>SUM(F64)</f>
        <v>3571.2100000000005</v>
      </c>
      <c r="F63" s="82"/>
      <c r="G63" s="231"/>
    </row>
    <row r="64" spans="1:9" ht="19.5">
      <c r="A64" s="86"/>
      <c r="B64" s="85"/>
      <c r="C64" s="85"/>
      <c r="D64" s="85"/>
      <c r="E64" s="89"/>
      <c r="F64" s="623">
        <v>3571.2100000000005</v>
      </c>
      <c r="G64" s="624" t="s">
        <v>630</v>
      </c>
    </row>
    <row r="65" spans="1:7" ht="19.5">
      <c r="A65" s="86">
        <f>+A63+1</f>
        <v>11</v>
      </c>
      <c r="B65" s="85"/>
      <c r="C65" s="85" t="s">
        <v>315</v>
      </c>
      <c r="D65" s="85"/>
      <c r="E65" s="89">
        <f>SUM(F66:F70)</f>
        <v>13577.710000000001</v>
      </c>
      <c r="F65" s="82"/>
      <c r="G65" s="196"/>
    </row>
    <row r="66" spans="1:7" ht="19.5">
      <c r="A66" s="86"/>
      <c r="B66" s="85"/>
      <c r="C66" s="85"/>
      <c r="D66" s="85"/>
      <c r="E66" s="89"/>
      <c r="F66" s="623">
        <v>13577.710000000001</v>
      </c>
      <c r="G66" s="624" t="s">
        <v>630</v>
      </c>
    </row>
    <row r="67" spans="1:7" ht="19.5">
      <c r="A67" s="86"/>
      <c r="B67" s="85"/>
      <c r="C67" s="85"/>
      <c r="D67" s="85"/>
      <c r="E67" s="89"/>
      <c r="F67" s="623"/>
      <c r="G67" s="624"/>
    </row>
    <row r="68" spans="1:7" ht="19.5">
      <c r="A68" s="86"/>
      <c r="B68" s="85"/>
      <c r="C68" s="85"/>
      <c r="D68" s="85"/>
      <c r="E68" s="89"/>
      <c r="F68" s="623"/>
      <c r="G68" s="624"/>
    </row>
    <row r="69" spans="1:7" ht="19.5">
      <c r="A69" s="84"/>
      <c r="D69" s="85"/>
      <c r="E69" s="82"/>
      <c r="F69" s="623"/>
      <c r="G69" s="624"/>
    </row>
    <row r="70" spans="1:7" ht="19.5">
      <c r="A70" s="84"/>
      <c r="D70" s="85"/>
      <c r="E70" s="82"/>
      <c r="F70" s="623"/>
      <c r="G70" s="624"/>
    </row>
    <row r="71" spans="1:7" ht="19.5">
      <c r="A71" s="86">
        <f>A65+1</f>
        <v>12</v>
      </c>
      <c r="B71" s="85"/>
      <c r="C71" s="88" t="s">
        <v>439</v>
      </c>
      <c r="D71" s="85"/>
      <c r="E71" s="89">
        <f>SUM(F72:F72)</f>
        <v>0</v>
      </c>
      <c r="F71" s="227"/>
      <c r="G71" s="228"/>
    </row>
    <row r="72" spans="1:7" ht="19.5">
      <c r="A72" s="86">
        <f>+A71+1</f>
        <v>13</v>
      </c>
      <c r="B72" s="85"/>
      <c r="C72" s="82" t="s">
        <v>440</v>
      </c>
      <c r="D72" s="167"/>
      <c r="E72" s="89"/>
      <c r="F72" s="623"/>
      <c r="G72" s="624"/>
    </row>
    <row r="73" spans="1:7" ht="19.5">
      <c r="A73" s="86"/>
      <c r="B73" s="85"/>
      <c r="C73" s="82"/>
      <c r="D73" s="85"/>
      <c r="E73" s="202"/>
      <c r="F73" s="227"/>
      <c r="G73" s="82"/>
    </row>
    <row r="74" spans="1:7" ht="19.5">
      <c r="A74" s="92">
        <f>+A72+1</f>
        <v>14</v>
      </c>
      <c r="B74" s="85"/>
      <c r="C74" s="88" t="s">
        <v>322</v>
      </c>
      <c r="D74" s="94"/>
      <c r="E74" s="82"/>
      <c r="F74" s="82"/>
      <c r="G74" s="82"/>
    </row>
    <row r="75" spans="1:7" ht="19.5">
      <c r="A75" s="92">
        <f>A74+1</f>
        <v>15</v>
      </c>
      <c r="B75" s="93"/>
      <c r="C75" s="82" t="s">
        <v>893</v>
      </c>
      <c r="D75" s="94"/>
      <c r="E75" s="89">
        <f>SUM(F76:F79)</f>
        <v>9102553</v>
      </c>
      <c r="F75" s="82"/>
      <c r="G75" s="82"/>
    </row>
    <row r="76" spans="1:7" ht="19.5">
      <c r="A76" s="92"/>
      <c r="B76" s="93"/>
      <c r="C76" s="82"/>
      <c r="E76" s="202"/>
      <c r="F76" s="623">
        <v>2884131</v>
      </c>
      <c r="G76" s="624" t="s">
        <v>1253</v>
      </c>
    </row>
    <row r="77" spans="1:7" ht="19.5">
      <c r="A77" s="92"/>
      <c r="B77" s="93"/>
      <c r="C77" s="82"/>
      <c r="E77" s="202"/>
      <c r="F77" s="623">
        <v>6218422</v>
      </c>
      <c r="G77" s="624" t="s">
        <v>1350</v>
      </c>
    </row>
    <row r="78" spans="1:7" ht="19.5">
      <c r="A78" s="92"/>
      <c r="B78" s="93"/>
      <c r="C78" s="82"/>
      <c r="E78" s="202"/>
      <c r="F78" s="623"/>
      <c r="G78" s="624"/>
    </row>
    <row r="79" spans="1:7" ht="19.5">
      <c r="A79" s="92"/>
      <c r="B79" s="93"/>
      <c r="C79" s="82"/>
      <c r="E79" s="202"/>
      <c r="F79" s="623"/>
      <c r="G79" s="624"/>
    </row>
    <row r="80" spans="1:7" ht="19.5">
      <c r="A80" s="86">
        <f>A75+1</f>
        <v>16</v>
      </c>
      <c r="B80" s="93"/>
      <c r="C80" s="82" t="s">
        <v>316</v>
      </c>
      <c r="D80" s="85"/>
      <c r="E80" s="89">
        <f>SUM(F81:F83)</f>
        <v>0</v>
      </c>
      <c r="F80" s="82"/>
      <c r="G80" s="82"/>
    </row>
    <row r="81" spans="1:7" ht="19.5">
      <c r="A81" s="86"/>
      <c r="B81" s="93"/>
      <c r="C81" s="82"/>
      <c r="D81" s="85"/>
      <c r="E81" s="89"/>
      <c r="F81" s="623"/>
      <c r="G81" s="624"/>
    </row>
    <row r="82" spans="1:7" ht="19.5">
      <c r="A82" s="86"/>
      <c r="B82" s="93"/>
      <c r="C82" s="82"/>
      <c r="D82" s="85"/>
      <c r="E82" s="89"/>
      <c r="F82" s="623"/>
      <c r="G82" s="624"/>
    </row>
    <row r="83" spans="1:7" ht="19.5">
      <c r="A83" s="86"/>
      <c r="B83" s="93"/>
      <c r="C83" s="82"/>
      <c r="D83" s="85"/>
      <c r="E83" s="89"/>
      <c r="F83" s="623"/>
      <c r="G83" s="624"/>
    </row>
    <row r="84" spans="1:7" ht="19.5">
      <c r="A84" s="86">
        <f>+A80+1</f>
        <v>17</v>
      </c>
      <c r="B84" s="85"/>
      <c r="C84" s="82" t="s">
        <v>317</v>
      </c>
      <c r="D84"/>
      <c r="E84" s="89">
        <f>SUM(F85:F92)</f>
        <v>0</v>
      </c>
    </row>
    <row r="85" spans="1:7" ht="19.5">
      <c r="A85" s="86"/>
      <c r="B85" s="85"/>
      <c r="C85" s="82"/>
      <c r="D85"/>
      <c r="E85" s="89"/>
      <c r="F85" s="623"/>
      <c r="G85" s="624"/>
    </row>
    <row r="86" spans="1:7" ht="19.5">
      <c r="A86" s="86"/>
      <c r="B86" s="85"/>
      <c r="C86" s="82"/>
      <c r="D86"/>
      <c r="E86" s="89"/>
      <c r="F86" s="623"/>
      <c r="G86" s="624"/>
    </row>
    <row r="87" spans="1:7" ht="19.5">
      <c r="A87" s="86"/>
      <c r="B87" s="85"/>
      <c r="C87" s="82"/>
      <c r="D87"/>
      <c r="E87" s="89"/>
      <c r="F87" s="623"/>
      <c r="G87" s="624"/>
    </row>
    <row r="88" spans="1:7" ht="19.5">
      <c r="A88" s="86"/>
      <c r="B88" s="85"/>
      <c r="C88" s="82"/>
      <c r="D88"/>
      <c r="E88" s="89"/>
      <c r="F88" s="623"/>
      <c r="G88" s="624"/>
    </row>
    <row r="89" spans="1:7" ht="19.5">
      <c r="A89" s="86"/>
      <c r="B89" s="85"/>
      <c r="C89" s="82"/>
      <c r="D89"/>
      <c r="E89" s="89"/>
      <c r="F89" s="623"/>
      <c r="G89" s="624"/>
    </row>
    <row r="90" spans="1:7" ht="19.5">
      <c r="A90" s="86"/>
      <c r="B90" s="85"/>
      <c r="C90" s="82"/>
      <c r="D90"/>
      <c r="E90" s="89"/>
      <c r="F90" s="623"/>
      <c r="G90" s="624"/>
    </row>
    <row r="91" spans="1:7" ht="19.5">
      <c r="A91" s="86"/>
      <c r="B91" s="85"/>
      <c r="C91" s="82"/>
      <c r="D91"/>
      <c r="E91" s="89"/>
      <c r="F91" s="623"/>
      <c r="G91" s="624"/>
    </row>
    <row r="92" spans="1:7" ht="19.5">
      <c r="A92" s="86"/>
      <c r="B92" s="85"/>
      <c r="C92" s="82"/>
      <c r="D92"/>
      <c r="E92" s="89"/>
      <c r="F92" s="623"/>
      <c r="G92" s="624"/>
    </row>
    <row r="93" spans="1:7" ht="19.5">
      <c r="A93" s="86"/>
      <c r="B93" s="85"/>
      <c r="C93" s="82"/>
      <c r="D93"/>
      <c r="E93" s="89"/>
      <c r="F93" s="82"/>
      <c r="G93" s="82"/>
    </row>
    <row r="94" spans="1:7" ht="19.5">
      <c r="A94" s="86">
        <f>+A84+1</f>
        <v>18</v>
      </c>
      <c r="B94" s="85"/>
      <c r="C94" s="82" t="s">
        <v>318</v>
      </c>
      <c r="D94"/>
      <c r="E94" s="89">
        <f>SUM(F95:F100)</f>
        <v>0</v>
      </c>
      <c r="F94" s="82"/>
      <c r="G94" s="82"/>
    </row>
    <row r="95" spans="1:7" ht="19.5">
      <c r="A95" s="86"/>
      <c r="B95" s="85"/>
      <c r="C95" s="82"/>
      <c r="D95"/>
      <c r="E95" s="89"/>
      <c r="F95" s="623"/>
      <c r="G95" s="624"/>
    </row>
    <row r="96" spans="1:7" ht="19.5">
      <c r="A96" s="86"/>
      <c r="B96" s="85"/>
      <c r="C96" s="82"/>
      <c r="D96"/>
      <c r="E96" s="89"/>
      <c r="F96" s="623"/>
      <c r="G96" s="624"/>
    </row>
    <row r="97" spans="1:7" ht="19.5">
      <c r="A97" s="86"/>
      <c r="B97" s="85"/>
      <c r="C97" s="82"/>
      <c r="D97"/>
      <c r="E97" s="89"/>
      <c r="F97" s="623"/>
      <c r="G97" s="624"/>
    </row>
    <row r="98" spans="1:7" ht="19.5">
      <c r="A98" s="86"/>
      <c r="B98" s="85"/>
      <c r="C98" s="82"/>
      <c r="D98"/>
      <c r="E98" s="89"/>
      <c r="F98" s="623"/>
      <c r="G98" s="624"/>
    </row>
    <row r="99" spans="1:7" ht="19.5">
      <c r="A99" s="86"/>
      <c r="B99" s="85"/>
      <c r="C99" s="82"/>
      <c r="D99"/>
      <c r="E99" s="89"/>
      <c r="F99" s="623"/>
      <c r="G99" s="624"/>
    </row>
    <row r="100" spans="1:7" ht="19.5">
      <c r="A100" s="86"/>
      <c r="B100" s="85"/>
      <c r="C100" s="82"/>
      <c r="D100"/>
      <c r="E100" s="89"/>
      <c r="F100" s="623"/>
      <c r="G100" s="624"/>
    </row>
    <row r="101" spans="1:7" ht="19.5">
      <c r="A101" s="86">
        <f>+A94+1</f>
        <v>19</v>
      </c>
      <c r="B101" s="85"/>
      <c r="C101" s="82" t="s">
        <v>319</v>
      </c>
      <c r="D101" s="85"/>
      <c r="E101" s="89">
        <f>SUM(F102:F103)</f>
        <v>0</v>
      </c>
      <c r="F101" s="82"/>
      <c r="G101" s="228"/>
    </row>
    <row r="102" spans="1:7" ht="19.5">
      <c r="A102" s="86"/>
      <c r="B102" s="85"/>
      <c r="C102" s="82"/>
      <c r="D102" s="85"/>
      <c r="E102" s="89"/>
      <c r="F102" s="623"/>
      <c r="G102" s="624"/>
    </row>
    <row r="103" spans="1:7" ht="19.5">
      <c r="A103" s="86"/>
      <c r="B103" s="85"/>
      <c r="C103" s="82"/>
      <c r="D103" s="85"/>
      <c r="E103" s="202"/>
      <c r="F103" s="623"/>
      <c r="G103" s="624"/>
    </row>
    <row r="104" spans="1:7" ht="19.5">
      <c r="A104" s="86">
        <f>+A101+1</f>
        <v>20</v>
      </c>
      <c r="B104" s="85"/>
      <c r="C104" s="82" t="s">
        <v>320</v>
      </c>
      <c r="E104" s="89">
        <f>SUM(F105:F107)</f>
        <v>43</v>
      </c>
      <c r="G104" s="82"/>
    </row>
    <row r="105" spans="1:7" ht="19.5">
      <c r="A105" s="86"/>
      <c r="B105" s="85"/>
      <c r="C105" s="82"/>
      <c r="D105" s="85"/>
      <c r="E105" s="89"/>
      <c r="F105" s="623">
        <v>43</v>
      </c>
      <c r="G105" s="624" t="s">
        <v>1254</v>
      </c>
    </row>
    <row r="106" spans="1:7" ht="19.5">
      <c r="A106" s="86"/>
      <c r="B106" s="85"/>
      <c r="C106" s="82"/>
      <c r="D106" s="85"/>
      <c r="E106" s="89"/>
      <c r="F106" s="623"/>
      <c r="G106" s="624"/>
    </row>
    <row r="107" spans="1:7" ht="19.5">
      <c r="A107" s="86"/>
      <c r="B107" s="85"/>
      <c r="C107" s="82"/>
      <c r="D107" s="85"/>
      <c r="E107" s="89"/>
      <c r="F107" s="82"/>
      <c r="G107" s="82"/>
    </row>
    <row r="108" spans="1:7" ht="19.5">
      <c r="A108" s="86">
        <f>+A104+1</f>
        <v>21</v>
      </c>
      <c r="B108" s="85"/>
      <c r="C108" s="82" t="s">
        <v>308</v>
      </c>
      <c r="D108" s="82"/>
      <c r="E108" s="89">
        <f>SUM(F109:F110)</f>
        <v>0</v>
      </c>
      <c r="F108" s="82"/>
      <c r="G108" s="82"/>
    </row>
    <row r="109" spans="1:7" ht="19.5">
      <c r="A109" s="86"/>
      <c r="B109" s="85"/>
      <c r="C109" s="82"/>
      <c r="D109" s="82"/>
      <c r="E109" s="89"/>
      <c r="F109" s="623"/>
      <c r="G109" s="624"/>
    </row>
    <row r="110" spans="1:7" ht="19.5">
      <c r="A110" s="86"/>
      <c r="B110" s="85"/>
      <c r="C110" s="82"/>
      <c r="D110" s="82"/>
      <c r="E110" s="89"/>
      <c r="F110" s="623"/>
      <c r="G110" s="624"/>
    </row>
    <row r="111" spans="1:7" ht="19.5">
      <c r="A111" s="86">
        <f>+A108+1</f>
        <v>22</v>
      </c>
      <c r="B111" s="82"/>
      <c r="C111" s="98" t="s">
        <v>1006</v>
      </c>
      <c r="D111" s="82"/>
      <c r="E111" s="89">
        <f>SUM(F112:F114)</f>
        <v>0</v>
      </c>
      <c r="F111" s="197"/>
      <c r="G111" s="82"/>
    </row>
    <row r="112" spans="1:7" ht="19.5">
      <c r="A112" s="86"/>
      <c r="B112" s="82"/>
      <c r="C112" s="98"/>
      <c r="D112" s="82"/>
      <c r="E112" s="89"/>
      <c r="F112" s="623"/>
      <c r="G112" s="624"/>
    </row>
    <row r="113" spans="1:9" ht="19.5">
      <c r="A113" s="86"/>
      <c r="B113" s="82"/>
      <c r="C113" s="98"/>
      <c r="D113" s="82"/>
      <c r="E113" s="89"/>
      <c r="F113" s="623"/>
      <c r="G113" s="624"/>
    </row>
    <row r="114" spans="1:9" ht="19.5">
      <c r="A114" s="86"/>
      <c r="B114" s="82"/>
      <c r="C114" s="98"/>
      <c r="D114" s="82"/>
      <c r="E114" s="89"/>
      <c r="F114" s="623"/>
      <c r="G114" s="624"/>
    </row>
    <row r="115" spans="1:9" ht="19.5">
      <c r="A115" s="3"/>
      <c r="B115" s="82"/>
      <c r="C115" s="186"/>
      <c r="D115"/>
      <c r="E115"/>
      <c r="F115" s="185"/>
      <c r="G115" s="1"/>
    </row>
    <row r="116" spans="1:9" ht="20.25" thickBot="1">
      <c r="A116" s="179">
        <f>+A111+1</f>
        <v>23</v>
      </c>
      <c r="B116" s="186"/>
      <c r="C116" s="82" t="s">
        <v>311</v>
      </c>
      <c r="D116"/>
      <c r="E116" s="97">
        <f>E15+E25+E61+E63+E65+E75+E80+E84+E94+E101+E104+E108+E111</f>
        <v>16507032.539999999</v>
      </c>
      <c r="F116" s="97">
        <f>SUM(F15:F114)</f>
        <v>16507032.539999999</v>
      </c>
      <c r="G116" s="82"/>
    </row>
    <row r="117" spans="1:9" ht="20.25" thickTop="1">
      <c r="A117" s="3"/>
      <c r="B117" s="186"/>
      <c r="C117" s="82" t="s">
        <v>381</v>
      </c>
      <c r="D117"/>
      <c r="E117"/>
      <c r="F117" s="197"/>
      <c r="G117" s="82"/>
      <c r="I117" s="839"/>
    </row>
    <row r="118" spans="1:9" ht="21">
      <c r="A118" s="3"/>
      <c r="B118" s="186"/>
      <c r="C118" s="82"/>
      <c r="D118"/>
      <c r="E118" s="212"/>
      <c r="F118" s="121" t="s">
        <v>114</v>
      </c>
      <c r="G118" s="89"/>
      <c r="I118" s="1158"/>
    </row>
    <row r="119" spans="1:9" ht="20.25" customHeight="1">
      <c r="A119" s="1292" t="s">
        <v>756</v>
      </c>
      <c r="B119" s="1292"/>
      <c r="C119" s="1292"/>
      <c r="D119" s="1292"/>
      <c r="E119" s="1292"/>
      <c r="F119" s="1292"/>
      <c r="G119" s="1292"/>
    </row>
    <row r="120" spans="1:9" ht="20.25" customHeight="1">
      <c r="A120" s="1292"/>
      <c r="B120" s="1292"/>
      <c r="C120" s="1292"/>
      <c r="D120" s="1292"/>
      <c r="E120" s="1292"/>
      <c r="F120" s="1292"/>
      <c r="G120" s="1292"/>
    </row>
    <row r="121" spans="1:9" ht="20.25" customHeight="1">
      <c r="A121" s="1292"/>
      <c r="B121" s="1292"/>
      <c r="C121" s="1292"/>
      <c r="D121" s="1292"/>
      <c r="E121" s="1292"/>
      <c r="F121" s="1292"/>
      <c r="G121" s="1292"/>
    </row>
    <row r="122" spans="1:9" ht="20.25" customHeight="1">
      <c r="A122" s="1292"/>
      <c r="B122" s="1292"/>
      <c r="C122" s="1292"/>
      <c r="D122" s="1292"/>
      <c r="E122" s="1292"/>
      <c r="F122" s="1292"/>
      <c r="G122" s="1292"/>
    </row>
    <row r="123" spans="1:9" ht="20.25" customHeight="1">
      <c r="A123" s="1292"/>
      <c r="B123" s="1292"/>
      <c r="C123" s="1292"/>
      <c r="D123" s="1292"/>
      <c r="E123" s="1292"/>
      <c r="F123" s="1292"/>
      <c r="G123" s="1292"/>
    </row>
    <row r="124" spans="1:9" ht="20.25" customHeight="1">
      <c r="A124" s="835"/>
      <c r="B124" s="835"/>
      <c r="C124" s="835"/>
      <c r="D124" s="835"/>
      <c r="E124" s="835"/>
      <c r="F124" s="835"/>
      <c r="G124" s="835"/>
    </row>
    <row r="125" spans="1:9" ht="30.75" customHeight="1">
      <c r="A125" s="1291" t="s">
        <v>854</v>
      </c>
      <c r="B125" s="1291"/>
      <c r="C125" s="1291"/>
      <c r="D125" s="1291"/>
      <c r="E125" s="1291"/>
      <c r="F125" s="1291"/>
      <c r="G125" s="1291"/>
    </row>
    <row r="126" spans="1:9" ht="30.75" customHeight="1">
      <c r="A126" s="1291"/>
      <c r="B126" s="1291"/>
      <c r="C126" s="1291"/>
      <c r="D126" s="1291"/>
      <c r="E126" s="1291"/>
      <c r="F126" s="1291"/>
      <c r="G126" s="1291"/>
    </row>
    <row r="127" spans="1:9" ht="19.5">
      <c r="F127" s="82"/>
      <c r="G127" s="82"/>
    </row>
  </sheetData>
  <mergeCells count="7">
    <mergeCell ref="A125:G126"/>
    <mergeCell ref="A119:G123"/>
    <mergeCell ref="A7:F7"/>
    <mergeCell ref="A3:F3"/>
    <mergeCell ref="A4:F4"/>
    <mergeCell ref="A5:F5"/>
    <mergeCell ref="A6:F6"/>
  </mergeCells>
  <phoneticPr fontId="75" type="noConversion"/>
  <pageMargins left="0.82" right="1.28" top="0.68" bottom="0.37" header="0.5" footer="0.5"/>
  <pageSetup scale="2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C29"/>
  <sheetViews>
    <sheetView tabSelected="1" view="pageBreakPreview" zoomScale="60" zoomScaleNormal="100" workbookViewId="0">
      <selection activeCell="D3" sqref="D3"/>
    </sheetView>
  </sheetViews>
  <sheetFormatPr defaultRowHeight="12.75"/>
  <cols>
    <col min="1" max="1" width="4.5703125" customWidth="1"/>
    <col min="3" max="3" width="13.85546875" customWidth="1"/>
    <col min="4" max="4" width="18.85546875" customWidth="1"/>
    <col min="5" max="5" width="13.140625" customWidth="1"/>
    <col min="6" max="6" width="12.5703125" customWidth="1"/>
    <col min="7" max="8" width="19.42578125" customWidth="1"/>
    <col min="9" max="9" width="18.5703125" customWidth="1"/>
    <col min="10" max="10" width="1.42578125" customWidth="1"/>
    <col min="12" max="12" width="15" bestFit="1" customWidth="1"/>
  </cols>
  <sheetData>
    <row r="1" spans="1:29" ht="15.75">
      <c r="A1" s="651" t="s">
        <v>114</v>
      </c>
    </row>
    <row r="2" spans="1:29" ht="15.75">
      <c r="A2" s="651" t="s">
        <v>114</v>
      </c>
    </row>
    <row r="3" spans="1:29" ht="18">
      <c r="A3" s="1294" t="s">
        <v>387</v>
      </c>
      <c r="B3" s="1294"/>
      <c r="C3" s="1294"/>
      <c r="D3" s="1294"/>
      <c r="E3" s="1294"/>
      <c r="F3" s="1294"/>
      <c r="G3" s="1294"/>
      <c r="H3" s="1294"/>
      <c r="I3" s="1294"/>
      <c r="J3" s="1294"/>
      <c r="K3" s="115"/>
      <c r="L3" s="115"/>
      <c r="M3" s="115"/>
    </row>
    <row r="4" spans="1:29" ht="18">
      <c r="A4" s="1293" t="str">
        <f>"Cost of Service Formula Rate Using "&amp;TCOS!L4&amp;" FF1 Balances"</f>
        <v>Cost of Service Formula Rate Using 2025 FF1 Balances</v>
      </c>
      <c r="B4" s="1293"/>
      <c r="C4" s="1293"/>
      <c r="D4" s="1293"/>
      <c r="E4" s="1293"/>
      <c r="F4" s="1293"/>
      <c r="G4" s="1293"/>
      <c r="H4" s="1293"/>
      <c r="I4" s="1293"/>
      <c r="J4" s="1293"/>
      <c r="K4" s="72"/>
      <c r="L4" s="72"/>
      <c r="M4" s="72"/>
    </row>
    <row r="5" spans="1:29" ht="18">
      <c r="A5" s="1293" t="s">
        <v>545</v>
      </c>
      <c r="B5" s="1293"/>
      <c r="C5" s="1293"/>
      <c r="D5" s="1293"/>
      <c r="E5" s="1293"/>
      <c r="F5" s="1293"/>
      <c r="G5" s="1293"/>
      <c r="H5" s="1293"/>
      <c r="I5" s="1293"/>
      <c r="J5" s="1293"/>
      <c r="K5" s="116"/>
      <c r="L5" s="116"/>
      <c r="M5" s="116"/>
    </row>
    <row r="6" spans="1:29" ht="18">
      <c r="A6" s="1287" t="str">
        <f>+TCOS!F9</f>
        <v>WHEELING POWER COMPANY</v>
      </c>
      <c r="B6" s="1287"/>
      <c r="C6" s="1287"/>
      <c r="D6" s="1287"/>
      <c r="E6" s="1287"/>
      <c r="F6" s="1287"/>
      <c r="G6" s="1287"/>
      <c r="H6" s="1287"/>
      <c r="I6" s="1287"/>
      <c r="J6" s="1287"/>
      <c r="K6" s="122"/>
      <c r="L6" s="122"/>
      <c r="M6" s="122"/>
    </row>
    <row r="8" spans="1:29" ht="18">
      <c r="A8" s="128"/>
      <c r="B8" s="13"/>
      <c r="D8" s="76"/>
      <c r="E8" s="3"/>
      <c r="F8" s="78"/>
    </row>
    <row r="9" spans="1:29" ht="18">
      <c r="C9" s="3"/>
      <c r="D9" s="76"/>
      <c r="E9" s="3"/>
      <c r="F9" s="78"/>
      <c r="Q9" s="115"/>
      <c r="R9" s="115"/>
      <c r="S9" s="115"/>
      <c r="T9" s="115"/>
      <c r="U9" s="115"/>
      <c r="V9" s="115"/>
      <c r="W9" s="115"/>
      <c r="X9" s="115"/>
      <c r="Y9" s="115"/>
      <c r="Z9" s="115"/>
      <c r="AA9" s="115"/>
      <c r="AB9" s="115"/>
      <c r="AC9" s="115"/>
    </row>
    <row r="10" spans="1:29">
      <c r="C10" s="3"/>
      <c r="D10" s="76"/>
    </row>
    <row r="11" spans="1:29">
      <c r="C11" s="3"/>
      <c r="D11" s="76"/>
    </row>
    <row r="12" spans="1:29">
      <c r="C12" s="3"/>
      <c r="D12" s="76"/>
      <c r="H12" s="77"/>
    </row>
    <row r="13" spans="1:29">
      <c r="C13" s="3"/>
      <c r="D13" s="76"/>
      <c r="H13" s="77"/>
    </row>
    <row r="14" spans="1:29">
      <c r="C14" s="3"/>
      <c r="D14" s="76"/>
      <c r="E14" s="3"/>
      <c r="H14" s="77"/>
    </row>
    <row r="15" spans="1:29">
      <c r="C15" s="3"/>
      <c r="D15" s="76"/>
      <c r="E15" s="3"/>
      <c r="H15" s="78"/>
    </row>
    <row r="16" spans="1:29">
      <c r="C16" s="3"/>
      <c r="D16" s="76"/>
      <c r="E16" s="3"/>
      <c r="H16" s="123"/>
    </row>
    <row r="18" spans="1:12" ht="18">
      <c r="A18" s="128"/>
      <c r="B18" s="13"/>
    </row>
    <row r="20" spans="1:12">
      <c r="A20" s="12"/>
      <c r="B20" s="12"/>
      <c r="C20" s="124"/>
      <c r="E20" s="124"/>
      <c r="F20" s="124"/>
      <c r="G20" s="124"/>
      <c r="H20" s="124"/>
      <c r="I20" s="124"/>
      <c r="J20" s="125"/>
    </row>
    <row r="22" spans="1:12">
      <c r="E22" s="126"/>
      <c r="F22" s="127"/>
      <c r="G22" s="127"/>
      <c r="I22" s="127"/>
      <c r="L22" s="229"/>
    </row>
    <row r="23" spans="1:12">
      <c r="E23" s="80"/>
      <c r="F23" s="127"/>
      <c r="G23" s="127"/>
      <c r="I23" s="127"/>
      <c r="L23" s="229"/>
    </row>
    <row r="24" spans="1:12">
      <c r="E24" s="80"/>
      <c r="F24" s="127"/>
      <c r="G24" s="127"/>
      <c r="I24" s="127"/>
      <c r="L24" s="229"/>
    </row>
    <row r="25" spans="1:12">
      <c r="E25" s="80"/>
      <c r="F25" s="127"/>
      <c r="G25" s="127"/>
      <c r="I25" s="127"/>
      <c r="L25" s="229"/>
    </row>
    <row r="26" spans="1:12" ht="4.3499999999999996" customHeight="1">
      <c r="D26" s="131"/>
      <c r="H26" s="129"/>
    </row>
    <row r="27" spans="1:12">
      <c r="D27" s="131"/>
    </row>
    <row r="28" spans="1:12">
      <c r="D28" s="131"/>
      <c r="H28" s="76"/>
    </row>
    <row r="29" spans="1:12">
      <c r="D29" s="131"/>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P170"/>
  <sheetViews>
    <sheetView view="pageBreakPreview" topLeftCell="A67" zoomScale="85" zoomScaleNormal="100" zoomScaleSheetLayoutView="85" workbookViewId="0">
      <selection activeCell="A3" sqref="A3:O3"/>
    </sheetView>
  </sheetViews>
  <sheetFormatPr defaultColWidth="8.85546875" defaultRowHeight="12.75"/>
  <cols>
    <col min="1" max="1" width="4.5703125" customWidth="1"/>
    <col min="2" max="2" width="6.5703125" customWidth="1"/>
    <col min="3" max="3" width="42" customWidth="1"/>
    <col min="4" max="4" width="17.5703125" style="1" customWidth="1"/>
    <col min="5" max="7" width="17.5703125" customWidth="1"/>
    <col min="8" max="8" width="17.5703125" style="400" customWidth="1"/>
    <col min="9" max="9" width="17.5703125" bestFit="1" customWidth="1"/>
    <col min="10" max="10" width="2.140625" customWidth="1"/>
    <col min="11" max="11" width="20.5703125" customWidth="1"/>
    <col min="12" max="14" width="17.5703125" customWidth="1"/>
    <col min="15" max="15" width="16.5703125" customWidth="1"/>
    <col min="16" max="16" width="2.140625" style="3" customWidth="1"/>
  </cols>
  <sheetData>
    <row r="1" spans="1:16" ht="15.75">
      <c r="A1" s="651" t="s">
        <v>114</v>
      </c>
    </row>
    <row r="2" spans="1:16" ht="15.75">
      <c r="A2" s="651" t="s">
        <v>114</v>
      </c>
    </row>
    <row r="3" spans="1:16" ht="15">
      <c r="A3" s="1254" t="s">
        <v>387</v>
      </c>
      <c r="B3" s="1254"/>
      <c r="C3" s="1254"/>
      <c r="D3" s="1254"/>
      <c r="E3" s="1254"/>
      <c r="F3" s="1254"/>
      <c r="G3" s="1254"/>
      <c r="H3" s="1254"/>
      <c r="I3" s="1254"/>
      <c r="J3" s="1254"/>
      <c r="K3" s="1254"/>
      <c r="L3" s="1254"/>
      <c r="M3" s="1254"/>
      <c r="N3" s="1254"/>
      <c r="O3" s="1254"/>
    </row>
    <row r="4" spans="1:16" ht="15">
      <c r="A4" s="1255" t="str">
        <f>"Cost of Service Formula Rate Using "&amp;TCOS!L4&amp;" FF1 Balances"</f>
        <v>Cost of Service Formula Rate Using 2025 FF1 Balances</v>
      </c>
      <c r="B4" s="1255"/>
      <c r="C4" s="1255"/>
      <c r="D4" s="1255"/>
      <c r="E4" s="1255"/>
      <c r="F4" s="1255"/>
      <c r="G4" s="1255"/>
      <c r="H4" s="1255"/>
      <c r="I4" s="1255"/>
      <c r="J4" s="1255"/>
      <c r="K4" s="1255"/>
      <c r="L4" s="1255"/>
      <c r="M4" s="1255"/>
      <c r="N4" s="1255"/>
      <c r="O4" s="1255"/>
    </row>
    <row r="5" spans="1:16" ht="15">
      <c r="A5" s="1255" t="s">
        <v>467</v>
      </c>
      <c r="B5" s="1255"/>
      <c r="C5" s="1255"/>
      <c r="D5" s="1255"/>
      <c r="E5" s="1255"/>
      <c r="F5" s="1255"/>
      <c r="G5" s="1255"/>
      <c r="H5" s="1255"/>
      <c r="I5" s="1255"/>
      <c r="J5" s="1255"/>
      <c r="K5" s="1255"/>
      <c r="L5" s="1255"/>
      <c r="M5" s="1255"/>
      <c r="N5" s="1255"/>
      <c r="O5" s="1255"/>
    </row>
    <row r="6" spans="1:16" ht="15">
      <c r="A6" s="1263" t="str">
        <f>TCOS!F9</f>
        <v>WHEELING POWER COMPANY</v>
      </c>
      <c r="B6" s="1263"/>
      <c r="C6" s="1263"/>
      <c r="D6" s="1263"/>
      <c r="E6" s="1263"/>
      <c r="F6" s="1263"/>
      <c r="G6" s="1263"/>
      <c r="H6" s="1263"/>
      <c r="I6" s="1263"/>
      <c r="J6" s="1263"/>
      <c r="K6" s="1263"/>
      <c r="L6" s="1263"/>
      <c r="M6" s="1263"/>
      <c r="N6" s="1263"/>
      <c r="O6" s="1263"/>
    </row>
    <row r="8" spans="1:16" ht="20.25">
      <c r="A8" s="401"/>
      <c r="N8" s="10" t="str">
        <f>"Page "&amp;P8&amp;" of "</f>
        <v xml:space="preserve">Page 1 of </v>
      </c>
      <c r="O8" s="402">
        <f>COUNT(P$8:P$55962)</f>
        <v>1</v>
      </c>
      <c r="P8" s="10">
        <v>1</v>
      </c>
    </row>
    <row r="9" spans="1:16" ht="18">
      <c r="C9" s="13"/>
    </row>
    <row r="11" spans="1:16" ht="18">
      <c r="B11" s="403" t="s">
        <v>171</v>
      </c>
      <c r="C11" s="1304" t="str">
        <f>"Calculate Return and Income Taxes with "&amp;F17&amp;" basis point ROE increase for Projects Qualified for Regional Billing."</f>
        <v>Calculate Return and Income Taxes with  basis point ROE increase for Projects Qualified for Regional Billing.</v>
      </c>
      <c r="D11" s="1305"/>
      <c r="E11" s="1305"/>
      <c r="F11" s="1305"/>
      <c r="G11" s="1305"/>
      <c r="H11" s="1305"/>
    </row>
    <row r="12" spans="1:16" ht="18.75" customHeight="1">
      <c r="C12" s="1305"/>
      <c r="D12" s="1305"/>
      <c r="E12" s="1305"/>
      <c r="F12" s="1305"/>
      <c r="G12" s="1305"/>
      <c r="H12" s="1305"/>
    </row>
    <row r="13" spans="1:16" ht="15.75" customHeight="1">
      <c r="C13" s="12"/>
      <c r="D13" s="12"/>
      <c r="E13" s="12"/>
      <c r="F13" s="12"/>
      <c r="G13" s="12"/>
      <c r="H13" s="12"/>
    </row>
    <row r="14" spans="1:16" ht="15.75">
      <c r="C14" s="404" t="str">
        <f>"A.   Determine 'R' with hypothetical "&amp;F17&amp;" basis point increase in ROE for Identified Projects"</f>
        <v>A.   Determine 'R' with hypothetical  basis point increase in ROE for Identified Projects</v>
      </c>
    </row>
    <row r="16" spans="1:16">
      <c r="C16" s="405" t="str">
        <f>"   ROE w/o incentives  (TCOS, ln "&amp;TCOS!B273&amp;")"</f>
        <v xml:space="preserve">   ROE w/o incentives  (TCOS, ln 156)</v>
      </c>
      <c r="E16" s="406"/>
      <c r="F16" s="407">
        <f>TCOS!J273</f>
        <v>0.10349999999999999</v>
      </c>
      <c r="G16" s="406"/>
      <c r="H16" s="408"/>
      <c r="I16" s="408"/>
      <c r="J16" s="408"/>
      <c r="K16" s="408"/>
      <c r="L16" s="408"/>
      <c r="M16" s="408"/>
      <c r="N16" s="408"/>
      <c r="O16" s="408"/>
      <c r="P16" s="408"/>
    </row>
    <row r="17" spans="3:16">
      <c r="C17" s="405" t="s">
        <v>252</v>
      </c>
      <c r="E17" s="406"/>
      <c r="F17" s="625"/>
      <c r="G17" s="406"/>
      <c r="H17" s="408"/>
      <c r="I17" s="408"/>
      <c r="J17" s="408"/>
    </row>
    <row r="18" spans="3:16">
      <c r="C18" s="405" t="str">
        <f>"   ROE with additional "&amp;F17&amp;" basis point incentive"</f>
        <v xml:space="preserve">   ROE with additional  basis point incentive</v>
      </c>
      <c r="D18" s="406"/>
      <c r="E18" s="406"/>
      <c r="F18" s="409">
        <f>IF((F16+(F17/10000)&gt;0.1274),"ERROR",F16+(F17/10000))</f>
        <v>0.10349999999999999</v>
      </c>
      <c r="G18" s="410"/>
      <c r="H18" s="408"/>
      <c r="I18" s="408"/>
      <c r="J18" s="408"/>
    </row>
    <row r="19" spans="3:16">
      <c r="C19" s="405"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E19" s="406"/>
      <c r="F19" s="411"/>
      <c r="G19" s="406"/>
      <c r="H19" s="408"/>
      <c r="I19" s="408"/>
      <c r="J19" s="408"/>
    </row>
    <row r="20" spans="3:16">
      <c r="C20" s="408"/>
      <c r="D20" s="412" t="s">
        <v>146</v>
      </c>
      <c r="E20" s="412" t="s">
        <v>145</v>
      </c>
      <c r="F20" s="413" t="s">
        <v>253</v>
      </c>
      <c r="G20" s="406"/>
      <c r="H20" s="408"/>
      <c r="I20" s="408"/>
      <c r="J20" s="408"/>
    </row>
    <row r="21" spans="3:16" ht="13.5" thickBot="1">
      <c r="C21" s="414" t="s">
        <v>257</v>
      </c>
      <c r="D21" s="415">
        <f>TCOS!H271</f>
        <v>0.54409751221348901</v>
      </c>
      <c r="E21" s="415">
        <f>TCOS!J271</f>
        <v>5.9428125172220979E-2</v>
      </c>
      <c r="F21" s="416">
        <f>E21*D21</f>
        <v>3.233469506171726E-2</v>
      </c>
      <c r="G21" s="406"/>
      <c r="H21" s="408"/>
      <c r="I21" s="417"/>
      <c r="J21" s="417"/>
      <c r="K21" s="186"/>
      <c r="L21" s="186"/>
      <c r="M21" s="186"/>
      <c r="N21" s="186"/>
      <c r="O21" s="186"/>
    </row>
    <row r="22" spans="3:16">
      <c r="C22" s="414" t="s">
        <v>258</v>
      </c>
      <c r="D22" s="415">
        <f>TCOS!H272</f>
        <v>0</v>
      </c>
      <c r="E22" s="415">
        <f>TCOS!J272</f>
        <v>0</v>
      </c>
      <c r="F22" s="416">
        <f>E22*D22</f>
        <v>0</v>
      </c>
      <c r="G22" s="418"/>
      <c r="H22" s="418"/>
      <c r="I22" s="419"/>
      <c r="J22" s="419"/>
      <c r="K22" s="1298" t="s">
        <v>450</v>
      </c>
      <c r="L22" s="1299"/>
      <c r="M22" s="1299"/>
      <c r="N22" s="1299"/>
      <c r="O22" s="1300"/>
      <c r="P22" s="419"/>
    </row>
    <row r="23" spans="3:16">
      <c r="C23" s="414" t="s">
        <v>244</v>
      </c>
      <c r="D23" s="415">
        <f>TCOS!H273</f>
        <v>0.4559024877865111</v>
      </c>
      <c r="E23" s="415">
        <f>+F18</f>
        <v>0.10349999999999999</v>
      </c>
      <c r="F23" s="420">
        <f>E23*D23</f>
        <v>4.71859074859039E-2</v>
      </c>
      <c r="G23" s="418"/>
      <c r="H23" s="418"/>
      <c r="I23" s="419"/>
      <c r="J23" s="419"/>
      <c r="K23" s="1301"/>
      <c r="L23" s="1302"/>
      <c r="M23" s="1302"/>
      <c r="N23" s="1302"/>
      <c r="O23" s="1303"/>
      <c r="P23" s="419"/>
    </row>
    <row r="24" spans="3:16">
      <c r="C24" s="405"/>
      <c r="D24"/>
      <c r="E24" s="421" t="s">
        <v>260</v>
      </c>
      <c r="F24" s="416">
        <f>SUM(F21:F23)</f>
        <v>7.9520602547621166E-2</v>
      </c>
      <c r="G24" s="418"/>
      <c r="H24" s="418"/>
      <c r="I24" s="419"/>
      <c r="J24" s="419"/>
      <c r="K24" s="422"/>
      <c r="L24" s="423"/>
      <c r="M24" s="424" t="s">
        <v>254</v>
      </c>
      <c r="N24" s="424" t="s">
        <v>255</v>
      </c>
      <c r="O24" s="425" t="s">
        <v>256</v>
      </c>
      <c r="P24" s="419"/>
    </row>
    <row r="25" spans="3:16">
      <c r="C25" s="3"/>
      <c r="D25" s="426"/>
      <c r="E25" s="426"/>
      <c r="F25" s="418"/>
      <c r="G25" s="418"/>
      <c r="H25" s="418"/>
      <c r="I25" s="418"/>
      <c r="J25" s="418"/>
      <c r="K25" s="427"/>
      <c r="L25" s="186"/>
      <c r="M25" s="186"/>
      <c r="N25" s="186"/>
      <c r="O25" s="428"/>
      <c r="P25" s="418"/>
    </row>
    <row r="26" spans="3:16" ht="16.5" thickBot="1">
      <c r="C26" s="404" t="str">
        <f>"B.   Determine Return using 'R' with hypothetical "&amp;F17&amp;" basis point ROE increase for Identified Projects."</f>
        <v>B.   Determine Return using 'R' with hypothetical  basis point ROE increase for Identified Projects.</v>
      </c>
      <c r="D26" s="426"/>
      <c r="E26" s="426"/>
      <c r="F26" s="418"/>
      <c r="G26" s="418"/>
      <c r="H26" s="406"/>
      <c r="I26" s="418"/>
      <c r="J26" s="418"/>
      <c r="K26" s="429" t="s">
        <v>261</v>
      </c>
      <c r="L26" s="430">
        <f>TCOS!L4</f>
        <v>2025</v>
      </c>
      <c r="M26" s="626">
        <f>N87</f>
        <v>126709.80165075778</v>
      </c>
      <c r="N26" s="626">
        <f>N88</f>
        <v>126709.80165075778</v>
      </c>
      <c r="O26" s="431">
        <f>+N26-M26</f>
        <v>0</v>
      </c>
      <c r="P26" s="418"/>
    </row>
    <row r="27" spans="3:16">
      <c r="C27" s="408"/>
      <c r="D27" s="426"/>
      <c r="E27" s="426"/>
      <c r="F27" s="418"/>
      <c r="G27" s="418"/>
      <c r="H27" s="418"/>
      <c r="I27" s="418"/>
      <c r="J27" s="418"/>
      <c r="K27" s="432"/>
      <c r="L27" s="432"/>
      <c r="M27" s="432"/>
      <c r="N27" s="432"/>
      <c r="O27" s="432"/>
      <c r="P27" s="418"/>
    </row>
    <row r="28" spans="3:16">
      <c r="C28" s="433" t="str">
        <f>"   Rate Base  (TCOS, ln "&amp;TCOS!B131&amp;")"</f>
        <v xml:space="preserve">   Rate Base  (TCOS, ln 68)</v>
      </c>
      <c r="D28" s="406"/>
      <c r="F28" s="434">
        <f>TCOS!L131</f>
        <v>106350644.87933302</v>
      </c>
      <c r="G28" s="418"/>
      <c r="H28" s="418"/>
      <c r="I28" s="418"/>
      <c r="J28" s="418"/>
      <c r="K28" s="432"/>
      <c r="L28" s="432"/>
      <c r="M28" s="432"/>
      <c r="N28" s="432"/>
      <c r="O28" s="435"/>
      <c r="P28" s="418"/>
    </row>
    <row r="29" spans="3:16">
      <c r="C29" s="408" t="s">
        <v>473</v>
      </c>
      <c r="D29" s="436"/>
      <c r="F29" s="416">
        <f>F24</f>
        <v>7.9520602547621166E-2</v>
      </c>
      <c r="G29" s="418"/>
      <c r="H29" s="418"/>
      <c r="I29" s="418"/>
      <c r="J29" s="418"/>
      <c r="K29" s="418"/>
      <c r="L29" s="418"/>
      <c r="M29" s="418"/>
      <c r="N29" s="418"/>
      <c r="O29" s="418"/>
      <c r="P29" s="418"/>
    </row>
    <row r="30" spans="3:16">
      <c r="C30" s="437" t="s">
        <v>262</v>
      </c>
      <c r="D30" s="437"/>
      <c r="F30" s="419">
        <f>F28*F29</f>
        <v>8457067.3621326424</v>
      </c>
      <c r="G30" s="418"/>
      <c r="H30" s="418"/>
      <c r="I30" s="419"/>
      <c r="J30" s="419"/>
      <c r="K30" s="419"/>
      <c r="L30" s="419"/>
      <c r="M30" s="419"/>
      <c r="N30" s="419"/>
      <c r="O30" s="418"/>
      <c r="P30" s="419"/>
    </row>
    <row r="31" spans="3:16">
      <c r="C31" s="437"/>
      <c r="D31" s="408"/>
      <c r="E31" s="408"/>
      <c r="F31" s="418"/>
      <c r="G31" s="418"/>
      <c r="H31" s="418"/>
      <c r="I31" s="419"/>
      <c r="J31" s="419"/>
      <c r="K31" s="419"/>
      <c r="L31" s="419"/>
      <c r="M31" s="419"/>
      <c r="N31" s="419"/>
      <c r="O31" s="418"/>
      <c r="P31" s="419"/>
    </row>
    <row r="32" spans="3:16" ht="15.75">
      <c r="C32" s="404" t="str">
        <f>"C.   Determine Income Taxes using Return with hypothetical "&amp;F17&amp;" basis point ROE increase for Identified Projects."</f>
        <v>C.   Determine Income Taxes using Return with hypothetical  basis point ROE increase for Identified Projects.</v>
      </c>
      <c r="D32" s="438"/>
      <c r="E32" s="438"/>
      <c r="F32" s="439"/>
      <c r="G32" s="439"/>
      <c r="H32" s="439"/>
      <c r="I32" s="440"/>
      <c r="J32" s="440"/>
      <c r="K32" s="440"/>
      <c r="L32" s="440"/>
      <c r="M32" s="440"/>
      <c r="N32" s="440"/>
      <c r="O32" s="439"/>
      <c r="P32" s="440"/>
    </row>
    <row r="33" spans="2:16">
      <c r="C33" s="405"/>
      <c r="D33" s="408"/>
      <c r="E33" s="408"/>
      <c r="F33" s="418"/>
      <c r="G33" s="418"/>
      <c r="H33" s="418"/>
      <c r="I33" s="419"/>
      <c r="J33" s="419"/>
      <c r="K33" s="419"/>
      <c r="L33" s="419"/>
      <c r="M33" s="419"/>
      <c r="N33" s="419"/>
      <c r="O33" s="418"/>
      <c r="P33" s="419"/>
    </row>
    <row r="34" spans="2:16">
      <c r="C34" s="408" t="s">
        <v>263</v>
      </c>
      <c r="D34" s="421"/>
      <c r="F34" s="441">
        <f>F30</f>
        <v>8457067.3621326424</v>
      </c>
      <c r="G34" s="418"/>
      <c r="H34" s="418"/>
      <c r="I34" s="418"/>
      <c r="J34" s="418"/>
      <c r="K34" s="418"/>
      <c r="L34" s="418"/>
      <c r="M34" s="418"/>
      <c r="N34" s="418"/>
      <c r="O34" s="418"/>
      <c r="P34" s="418"/>
    </row>
    <row r="35" spans="2:16">
      <c r="C35" s="433" t="str">
        <f>"   Effective Tax Rate  (TCOS, ln "&amp;TCOS!B198&amp;")"</f>
        <v xml:space="preserve">   Effective Tax Rate  (TCOS, ln 114)</v>
      </c>
      <c r="D35" s="76"/>
      <c r="F35" s="78">
        <f>TCOS!G198</f>
        <v>0.20783028408811399</v>
      </c>
      <c r="G35" s="3"/>
      <c r="H35" s="442"/>
      <c r="I35" s="3"/>
      <c r="J35" s="3"/>
      <c r="K35" s="3"/>
      <c r="L35" s="3"/>
      <c r="M35" s="3"/>
      <c r="N35" s="3"/>
      <c r="O35" s="3"/>
    </row>
    <row r="36" spans="2:16">
      <c r="C36" s="437" t="s">
        <v>264</v>
      </c>
      <c r="D36" s="76"/>
      <c r="F36" s="443">
        <f>F34*F35</f>
        <v>1757634.7124243439</v>
      </c>
      <c r="G36" s="3"/>
      <c r="H36" s="442"/>
      <c r="I36" s="3"/>
      <c r="J36" s="3"/>
      <c r="K36" s="3"/>
      <c r="L36" s="3"/>
      <c r="M36" s="3"/>
      <c r="N36" s="3"/>
      <c r="O36" s="3"/>
    </row>
    <row r="37" spans="2:16" ht="15">
      <c r="C37" s="405" t="s">
        <v>302</v>
      </c>
      <c r="D37" s="240"/>
      <c r="F37" s="418">
        <f>TCOS!L207</f>
        <v>0</v>
      </c>
      <c r="G37" s="240"/>
      <c r="H37" s="240"/>
      <c r="I37" s="240"/>
      <c r="J37" s="240"/>
      <c r="K37" s="240"/>
      <c r="L37" s="240"/>
      <c r="M37" s="240"/>
      <c r="N37" s="240"/>
      <c r="O37" s="254"/>
      <c r="P37" s="240"/>
    </row>
    <row r="38" spans="2:16" ht="15">
      <c r="C38" s="405" t="s">
        <v>531</v>
      </c>
      <c r="D38" s="240"/>
      <c r="F38" s="418">
        <f>TCOS!L208</f>
        <v>-172033.80060660178</v>
      </c>
      <c r="G38" s="240"/>
      <c r="H38" s="240"/>
      <c r="I38" s="240"/>
      <c r="J38" s="240"/>
      <c r="K38" s="240"/>
      <c r="L38" s="240"/>
      <c r="M38" s="240"/>
      <c r="N38" s="240"/>
      <c r="O38" s="254"/>
      <c r="P38" s="240"/>
    </row>
    <row r="39" spans="2:16" ht="15">
      <c r="C39" s="405" t="s">
        <v>532</v>
      </c>
      <c r="D39" s="240"/>
      <c r="F39" s="444">
        <f>TCOS!L209</f>
        <v>32970.087127038896</v>
      </c>
      <c r="G39" s="240"/>
      <c r="H39" s="240"/>
      <c r="I39" s="240"/>
      <c r="J39" s="240"/>
      <c r="K39" s="240"/>
      <c r="L39" s="240"/>
      <c r="M39" s="240"/>
      <c r="N39" s="240"/>
      <c r="O39" s="254"/>
      <c r="P39" s="240"/>
    </row>
    <row r="40" spans="2:16" ht="15">
      <c r="C40" s="437" t="s">
        <v>265</v>
      </c>
      <c r="D40" s="240"/>
      <c r="F40" s="418">
        <f>F36+F37+F38+F39</f>
        <v>1618570.998944781</v>
      </c>
      <c r="G40" s="240"/>
      <c r="H40" s="240"/>
      <c r="I40" s="240"/>
      <c r="J40" s="240"/>
      <c r="K40" s="240"/>
      <c r="L40" s="240"/>
      <c r="M40" s="240"/>
      <c r="N40" s="240"/>
      <c r="O40" s="253"/>
      <c r="P40" s="240"/>
    </row>
    <row r="41" spans="2:16" ht="12.75" customHeight="1">
      <c r="C41" s="237"/>
      <c r="D41" s="240"/>
      <c r="E41" s="240"/>
      <c r="F41" s="240"/>
      <c r="G41" s="240"/>
      <c r="H41" s="240"/>
      <c r="I41" s="240"/>
      <c r="J41" s="240"/>
      <c r="K41" s="240"/>
      <c r="L41" s="240"/>
      <c r="M41" s="240"/>
      <c r="N41" s="240"/>
      <c r="O41" s="253"/>
      <c r="P41" s="240"/>
    </row>
    <row r="42" spans="2:16" ht="18.75">
      <c r="B42" s="403" t="s">
        <v>172</v>
      </c>
      <c r="C42" s="13" t="str">
        <f>"Calculate Net Plant Carrying Charge Rate (Fixed Charge Rate or FCR) with hypothetical "&amp;F17&amp;""</f>
        <v xml:space="preserve">Calculate Net Plant Carrying Charge Rate (Fixed Charge Rate or FCR) with hypothetical </v>
      </c>
      <c r="D42" s="240"/>
      <c r="E42" s="240"/>
      <c r="F42" s="240"/>
      <c r="G42" s="240"/>
      <c r="H42" s="240"/>
      <c r="I42" s="240"/>
      <c r="J42" s="240"/>
      <c r="K42" s="240"/>
      <c r="L42" s="240"/>
      <c r="M42" s="240"/>
      <c r="N42" s="240"/>
      <c r="O42" s="253"/>
      <c r="P42" s="240"/>
    </row>
    <row r="43" spans="2:16" ht="18.75" customHeight="1">
      <c r="C43" s="13" t="str">
        <f>"basis point ROE increase."</f>
        <v>basis point ROE increase.</v>
      </c>
      <c r="D43" s="240"/>
      <c r="E43" s="240"/>
      <c r="F43" s="240"/>
      <c r="G43" s="240"/>
      <c r="H43" s="240"/>
      <c r="I43" s="240"/>
      <c r="J43" s="240"/>
      <c r="K43" s="240"/>
      <c r="L43" s="240"/>
      <c r="M43" s="240"/>
      <c r="N43" s="240"/>
      <c r="O43" s="253"/>
      <c r="P43" s="240"/>
    </row>
    <row r="44" spans="2:16" ht="12.75" customHeight="1">
      <c r="C44" s="13"/>
      <c r="D44" s="240"/>
      <c r="E44" s="240"/>
      <c r="F44" s="240"/>
      <c r="G44" s="240"/>
      <c r="H44" s="240"/>
      <c r="I44" s="240"/>
      <c r="J44" s="240"/>
      <c r="K44" s="240"/>
      <c r="L44" s="240"/>
      <c r="M44" s="240"/>
      <c r="N44" s="240"/>
      <c r="O44" s="253"/>
      <c r="P44" s="240"/>
    </row>
    <row r="45" spans="2:16" ht="15.75">
      <c r="C45" s="404" t="s">
        <v>464</v>
      </c>
      <c r="D45" s="240"/>
      <c r="E45" s="240"/>
      <c r="F45" s="237"/>
      <c r="G45" s="240"/>
      <c r="H45" s="240"/>
      <c r="I45" s="240"/>
      <c r="J45" s="240"/>
      <c r="K45" s="240"/>
      <c r="L45" s="240"/>
      <c r="M45" s="240"/>
      <c r="N45" s="240"/>
      <c r="O45" s="253"/>
      <c r="P45" s="240"/>
    </row>
    <row r="46" spans="2:16">
      <c r="B46" s="3"/>
      <c r="C46" s="405"/>
      <c r="D46" s="406"/>
      <c r="E46" s="406"/>
      <c r="F46" s="406"/>
      <c r="G46" s="406"/>
      <c r="H46" s="406"/>
      <c r="I46" s="406"/>
      <c r="J46" s="406"/>
      <c r="K46" s="406"/>
      <c r="L46" s="406"/>
      <c r="M46" s="406"/>
      <c r="N46" s="406"/>
      <c r="O46" s="418"/>
      <c r="P46" s="406"/>
    </row>
    <row r="47" spans="2:16" ht="12.75" customHeight="1">
      <c r="B47" s="3"/>
      <c r="C47" s="433" t="str">
        <f>"   Annual Revenue Requirement  (TCOS, ln "&amp;TCOS!B13&amp;")"</f>
        <v xml:space="preserve">   Annual Revenue Requirement  (TCOS, ln 1)</v>
      </c>
      <c r="D47" s="406"/>
      <c r="E47" s="406"/>
      <c r="G47" s="418">
        <f>TCOS!L13</f>
        <v>17001499.509647798</v>
      </c>
      <c r="H47" s="406"/>
      <c r="I47" s="406"/>
      <c r="J47" s="406"/>
      <c r="K47" s="406"/>
      <c r="L47" s="406"/>
      <c r="M47" s="406"/>
      <c r="N47" s="406"/>
      <c r="O47" s="418"/>
      <c r="P47" s="406"/>
    </row>
    <row r="48" spans="2:16" ht="12.75" customHeight="1">
      <c r="B48" s="3"/>
      <c r="C48" s="433" t="str">
        <f>"   Lease Payments (TCOS, Ln "&amp;TCOS!B175&amp;")"</f>
        <v xml:space="preserve">   Lease Payments (TCOS, Ln 95)</v>
      </c>
      <c r="D48" s="406"/>
      <c r="E48" s="406"/>
      <c r="G48" s="418">
        <f>TCOS!L175</f>
        <v>0</v>
      </c>
      <c r="H48" s="406"/>
      <c r="I48" s="406"/>
      <c r="J48" s="406"/>
      <c r="K48" s="406"/>
      <c r="L48" s="406"/>
      <c r="M48" s="406"/>
      <c r="N48" s="406"/>
      <c r="O48" s="418"/>
      <c r="P48" s="406"/>
    </row>
    <row r="49" spans="2:16">
      <c r="B49" s="3"/>
      <c r="C49" s="433" t="str">
        <f>"   Return  (TCOS, ln "&amp;TCOS!B213&amp;")"</f>
        <v xml:space="preserve">   Return  (TCOS, ln 126)</v>
      </c>
      <c r="D49" s="406"/>
      <c r="E49" s="406"/>
      <c r="G49" s="419">
        <f>TCOS!L213</f>
        <v>8457067.3621326424</v>
      </c>
      <c r="H49" s="405"/>
      <c r="I49" s="405"/>
      <c r="J49" s="405"/>
      <c r="K49" s="405"/>
      <c r="L49" s="405"/>
      <c r="M49" s="405"/>
      <c r="N49" s="405"/>
      <c r="O49" s="418"/>
      <c r="P49" s="405"/>
    </row>
    <row r="50" spans="2:16">
      <c r="B50" s="3"/>
      <c r="C50" s="433" t="str">
        <f>"   Income Taxes  (TCOS, ln "&amp;TCOS!B211&amp;")"</f>
        <v xml:space="preserve">   Income Taxes  (TCOS, ln 125)</v>
      </c>
      <c r="D50" s="406"/>
      <c r="E50" s="406"/>
      <c r="G50" s="445">
        <f>TCOS!L211</f>
        <v>1618570.998944781</v>
      </c>
      <c r="H50" s="406"/>
      <c r="I50" s="446"/>
      <c r="J50" s="446"/>
      <c r="K50" s="446"/>
      <c r="L50" s="446"/>
      <c r="M50" s="446"/>
      <c r="N50" s="446"/>
      <c r="O50" s="406"/>
      <c r="P50" s="446"/>
    </row>
    <row r="51" spans="2:16">
      <c r="B51" s="3"/>
      <c r="C51" s="3" t="s">
        <v>588</v>
      </c>
      <c r="D51" s="406"/>
      <c r="E51" s="406"/>
      <c r="G51" s="419">
        <f>G47-G49-G50-G48</f>
        <v>6925861.1485703746</v>
      </c>
      <c r="H51" s="406"/>
      <c r="I51" s="447"/>
      <c r="J51" s="447"/>
      <c r="K51" s="447"/>
      <c r="L51" s="447"/>
      <c r="M51" s="447"/>
      <c r="N51" s="447"/>
      <c r="O51" s="447"/>
      <c r="P51" s="447"/>
    </row>
    <row r="52" spans="2:16">
      <c r="B52" s="3"/>
      <c r="C52" s="405"/>
      <c r="D52" s="406"/>
      <c r="E52" s="406"/>
      <c r="F52" s="418"/>
      <c r="G52" s="448"/>
      <c r="H52" s="449"/>
      <c r="I52" s="449"/>
      <c r="J52" s="449"/>
      <c r="K52" s="449"/>
      <c r="L52" s="449"/>
      <c r="M52" s="449"/>
      <c r="N52" s="449"/>
      <c r="O52" s="449"/>
      <c r="P52" s="449"/>
    </row>
    <row r="53" spans="2:16" ht="15.75">
      <c r="B53" s="3"/>
      <c r="C53" s="404" t="str">
        <f>"B.   Determine Annual Revenue Requirement with hypothetical "&amp;F17&amp;" basis point increase in ROE."</f>
        <v>B.   Determine Annual Revenue Requirement with hypothetical  basis point increase in ROE.</v>
      </c>
      <c r="D53" s="408"/>
      <c r="E53" s="408"/>
      <c r="F53" s="418"/>
      <c r="G53" s="448"/>
      <c r="H53" s="449"/>
      <c r="I53" s="449"/>
      <c r="J53" s="449"/>
      <c r="K53" s="449"/>
      <c r="L53" s="449"/>
      <c r="M53" s="449"/>
      <c r="N53" s="449"/>
      <c r="O53" s="449"/>
      <c r="P53" s="449"/>
    </row>
    <row r="54" spans="2:16">
      <c r="B54" s="3"/>
      <c r="C54" s="405"/>
      <c r="D54" s="408"/>
      <c r="E54" s="408"/>
      <c r="F54" s="418"/>
      <c r="G54" s="448"/>
      <c r="H54" s="449"/>
      <c r="I54" s="449"/>
      <c r="J54" s="449"/>
      <c r="K54" s="449"/>
      <c r="L54" s="449"/>
      <c r="M54" s="449"/>
      <c r="N54" s="449"/>
      <c r="O54" s="449"/>
      <c r="P54" s="449"/>
    </row>
    <row r="55" spans="2:16">
      <c r="B55" s="3"/>
      <c r="C55" s="405" t="str">
        <f>C51</f>
        <v xml:space="preserve">   Annual Revenue Requirement, Less Lease Payments, Return and Taxes</v>
      </c>
      <c r="D55" s="408"/>
      <c r="E55" s="408"/>
      <c r="G55" s="418">
        <f>G51</f>
        <v>6925861.1485703746</v>
      </c>
      <c r="H55" s="406"/>
      <c r="I55" s="406"/>
      <c r="J55" s="406"/>
      <c r="K55" s="406"/>
      <c r="L55" s="406"/>
      <c r="M55" s="406"/>
      <c r="N55" s="406"/>
      <c r="O55" s="450"/>
      <c r="P55" s="406"/>
    </row>
    <row r="56" spans="2:16">
      <c r="B56" s="3"/>
      <c r="C56" s="408" t="s">
        <v>299</v>
      </c>
      <c r="D56" s="76"/>
      <c r="E56" s="3"/>
      <c r="G56" s="443">
        <f>F30</f>
        <v>8457067.3621326424</v>
      </c>
      <c r="H56" s="451"/>
      <c r="I56" s="3"/>
      <c r="J56" s="3"/>
      <c r="K56" s="3"/>
      <c r="L56" s="3"/>
      <c r="M56" s="3"/>
      <c r="N56" s="3"/>
      <c r="O56" s="3"/>
    </row>
    <row r="57" spans="2:16" ht="12.75" customHeight="1">
      <c r="B57" s="3"/>
      <c r="C57" s="405" t="s">
        <v>266</v>
      </c>
      <c r="D57" s="406"/>
      <c r="E57" s="406"/>
      <c r="G57" s="445">
        <f>F40</f>
        <v>1618570.998944781</v>
      </c>
      <c r="H57" s="442"/>
      <c r="I57" s="3"/>
      <c r="J57" s="3"/>
      <c r="K57" s="3"/>
      <c r="L57" s="3"/>
      <c r="M57" s="3"/>
      <c r="N57" s="3"/>
      <c r="O57" s="3"/>
    </row>
    <row r="58" spans="2:16">
      <c r="B58" s="3"/>
      <c r="C58" s="3" t="str">
        <f>"   Annual Revenue Requirement, with "&amp;F17&amp;" Basis Point ROE increase"</f>
        <v xml:space="preserve">   Annual Revenue Requirement, with  Basis Point ROE increase</v>
      </c>
      <c r="D58" s="76"/>
      <c r="E58" s="3"/>
      <c r="G58" s="443">
        <f>SUM(G55:G57)</f>
        <v>17001499.509647798</v>
      </c>
      <c r="H58" s="442"/>
      <c r="I58" s="3"/>
      <c r="J58" s="3"/>
      <c r="K58" s="3"/>
      <c r="L58" s="3"/>
      <c r="M58" s="3"/>
      <c r="N58" s="3"/>
      <c r="O58" s="3"/>
    </row>
    <row r="59" spans="2:16">
      <c r="B59" s="3"/>
      <c r="C59" s="433" t="str">
        <f>"   Depreciation  (TCOS, ln "&amp;TCOS!B181&amp;")"</f>
        <v xml:space="preserve">   Depreciation  (TCOS, ln 100)</v>
      </c>
      <c r="D59" s="76"/>
      <c r="E59" s="3"/>
      <c r="G59" s="452">
        <f>TCOS!L181</f>
        <v>3428949.1263215295</v>
      </c>
      <c r="H59" s="442"/>
      <c r="I59" s="3"/>
      <c r="J59" s="3"/>
      <c r="K59" s="3"/>
      <c r="L59" s="3"/>
      <c r="M59" s="3"/>
      <c r="N59" s="3"/>
      <c r="O59" s="3"/>
    </row>
    <row r="60" spans="2:16">
      <c r="B60" s="3"/>
      <c r="C60" s="3" t="str">
        <f>"   Annual Rev. Req, w/"&amp;F17&amp;" Basis Point ROE increase, less Depreciation"</f>
        <v xml:space="preserve">   Annual Rev. Req, w/ Basis Point ROE increase, less Depreciation</v>
      </c>
      <c r="D60" s="76"/>
      <c r="E60" s="3"/>
      <c r="G60" s="443">
        <f>G58-G59</f>
        <v>13572550.383326268</v>
      </c>
      <c r="H60" s="442"/>
      <c r="I60" s="3"/>
      <c r="J60" s="3"/>
      <c r="K60" s="3"/>
      <c r="L60" s="3"/>
      <c r="M60" s="3"/>
      <c r="N60" s="3"/>
      <c r="O60" s="3"/>
    </row>
    <row r="61" spans="2:16">
      <c r="B61" s="3"/>
      <c r="C61" s="3"/>
      <c r="D61" s="76"/>
      <c r="E61" s="3"/>
      <c r="F61" s="3"/>
      <c r="G61" s="3"/>
      <c r="H61" s="442"/>
      <c r="I61" s="3"/>
      <c r="J61" s="3"/>
      <c r="K61" s="3"/>
      <c r="L61" s="3"/>
      <c r="M61" s="3"/>
      <c r="N61" s="3"/>
      <c r="O61" s="3"/>
    </row>
    <row r="62" spans="2:16" ht="15.75">
      <c r="B62" s="3"/>
      <c r="C62" s="404" t="str">
        <f>"C.   Determine FCR with hypothetical "&amp;F17&amp;" basis point ROE increase."</f>
        <v>C.   Determine FCR with hypothetical  basis point ROE increase.</v>
      </c>
      <c r="D62" s="76"/>
      <c r="E62" s="3"/>
      <c r="F62" s="3"/>
      <c r="G62" s="3"/>
      <c r="H62" s="442"/>
      <c r="I62" s="3"/>
      <c r="J62" s="3"/>
      <c r="K62" s="3"/>
      <c r="L62" s="3"/>
      <c r="M62" s="3"/>
      <c r="N62" s="3"/>
      <c r="O62" s="3"/>
    </row>
    <row r="63" spans="2:16">
      <c r="B63" s="3"/>
      <c r="C63" s="3"/>
      <c r="D63" s="76"/>
      <c r="E63" s="3"/>
      <c r="F63" s="3"/>
      <c r="G63" s="3"/>
      <c r="H63" s="442"/>
      <c r="I63" s="3"/>
      <c r="J63" s="3"/>
      <c r="K63" s="3"/>
      <c r="L63" s="3"/>
      <c r="M63" s="3"/>
      <c r="N63" s="3"/>
      <c r="O63" s="3"/>
    </row>
    <row r="64" spans="2:16">
      <c r="B64" s="3"/>
      <c r="C64" s="433" t="str">
        <f>"   Net Transmission Plant  (TCOS, ln "&amp;TCOS!B95&amp;")"</f>
        <v xml:space="preserve">   Net Transmission Plant  (TCOS, ln 42)</v>
      </c>
      <c r="D64" s="76"/>
      <c r="E64" s="3"/>
      <c r="G64" s="443">
        <f>TCOS!L95</f>
        <v>132074015.90076925</v>
      </c>
      <c r="H64" s="453"/>
      <c r="I64" s="3"/>
      <c r="J64" s="3"/>
      <c r="K64" s="3"/>
      <c r="L64" s="3"/>
      <c r="M64" s="3"/>
      <c r="N64" s="3"/>
      <c r="O64" s="3"/>
    </row>
    <row r="65" spans="2:15">
      <c r="B65" s="3"/>
      <c r="C65" s="3" t="str">
        <f>"   Annual Revenue Requirement, with "&amp;F17&amp;" Basis Point ROE increase"</f>
        <v xml:space="preserve">   Annual Revenue Requirement, with  Basis Point ROE increase</v>
      </c>
      <c r="D65" s="76"/>
      <c r="E65" s="3"/>
      <c r="G65" s="443">
        <f>G58</f>
        <v>17001499.509647798</v>
      </c>
      <c r="H65" s="442"/>
      <c r="I65" s="3"/>
      <c r="J65" s="3"/>
      <c r="K65" s="3"/>
      <c r="L65" s="3"/>
      <c r="M65" s="3"/>
      <c r="N65" s="3"/>
      <c r="O65" s="3"/>
    </row>
    <row r="66" spans="2:15">
      <c r="B66" s="3"/>
      <c r="C66" s="3" t="str">
        <f>"   FCR with "&amp;F17&amp;" Basis Point increase in ROE"</f>
        <v xml:space="preserve">   FCR with  Basis Point increase in ROE</v>
      </c>
      <c r="D66" s="76"/>
      <c r="E66" s="3"/>
      <c r="G66" s="78">
        <f>G65/G64</f>
        <v>0.12872705803404569</v>
      </c>
      <c r="H66" s="442"/>
      <c r="I66" s="3"/>
      <c r="J66" s="3"/>
      <c r="K66" s="3"/>
      <c r="L66" s="3"/>
      <c r="M66" s="3"/>
      <c r="N66" s="3"/>
      <c r="O66" s="3"/>
    </row>
    <row r="67" spans="2:15">
      <c r="B67" s="3"/>
      <c r="C67" s="67"/>
      <c r="D67" s="76"/>
      <c r="E67" s="3"/>
      <c r="G67" s="3"/>
      <c r="H67" s="442"/>
      <c r="I67" s="3"/>
      <c r="J67" s="3"/>
      <c r="K67" s="3"/>
      <c r="L67" s="3"/>
      <c r="M67" s="3"/>
      <c r="N67" s="3"/>
      <c r="O67" s="3"/>
    </row>
    <row r="68" spans="2:15">
      <c r="B68" s="3"/>
      <c r="C68" s="3" t="str">
        <f>"   Annual Rev. Req, w / "&amp;F17&amp;" Basis Point ROE increase, less Dep."</f>
        <v xml:space="preserve">   Annual Rev. Req, w /  Basis Point ROE increase, less Dep.</v>
      </c>
      <c r="D68" s="76"/>
      <c r="E68" s="3"/>
      <c r="G68" s="443">
        <f>G60</f>
        <v>13572550.383326268</v>
      </c>
      <c r="H68" s="442"/>
      <c r="I68" s="3"/>
      <c r="J68" s="3"/>
      <c r="K68" s="3"/>
      <c r="L68" s="3"/>
      <c r="M68" s="3"/>
      <c r="N68" s="3"/>
      <c r="O68" s="3"/>
    </row>
    <row r="69" spans="2:15">
      <c r="B69" s="3"/>
      <c r="C69" s="3" t="str">
        <f>"   FCR with "&amp;F17&amp;" Basis Point ROE increase, less Depreciation"</f>
        <v xml:space="preserve">   FCR with  Basis Point ROE increase, less Depreciation</v>
      </c>
      <c r="D69" s="76"/>
      <c r="E69" s="3"/>
      <c r="G69" s="78">
        <f>G68/G64</f>
        <v>0.10276472848015532</v>
      </c>
      <c r="H69" s="442"/>
      <c r="I69" s="3"/>
      <c r="J69" s="3"/>
      <c r="K69" s="3"/>
      <c r="L69" s="3"/>
      <c r="M69" s="3"/>
      <c r="N69" s="3"/>
      <c r="O69" s="3"/>
    </row>
    <row r="70" spans="2:15">
      <c r="B70" s="3"/>
      <c r="C70" s="433" t="str">
        <f>"   FCR less Depreciation  (TCOS, ln "&amp;TCOS!B34&amp;")"</f>
        <v xml:space="preserve">   FCR less Depreciation  (TCOS, ln 10)</v>
      </c>
      <c r="D70" s="76"/>
      <c r="E70" s="3"/>
      <c r="G70" s="454">
        <f>TCOS!L34</f>
        <v>0.10276472848015532</v>
      </c>
      <c r="H70" s="442"/>
      <c r="I70" s="3"/>
      <c r="J70" s="3"/>
      <c r="K70" s="3"/>
      <c r="L70" s="3"/>
      <c r="M70" s="3"/>
      <c r="N70" s="3"/>
      <c r="O70" s="3"/>
    </row>
    <row r="71" spans="2:15">
      <c r="B71" s="3"/>
      <c r="C71" s="3" t="str">
        <f>"   Incremental FCR with "&amp;F17&amp;" Basis Point ROE increase, less Depreciation"</f>
        <v xml:space="preserve">   Incremental FCR with  Basis Point ROE increase, less Depreciation</v>
      </c>
      <c r="D71" s="76"/>
      <c r="E71" s="3"/>
      <c r="G71" s="78">
        <f>G69-G70</f>
        <v>0</v>
      </c>
      <c r="H71" s="442"/>
      <c r="I71" s="3"/>
      <c r="J71" s="3"/>
      <c r="K71" s="3"/>
      <c r="L71" s="3"/>
      <c r="M71" s="3"/>
      <c r="N71" s="3"/>
      <c r="O71" s="3"/>
    </row>
    <row r="72" spans="2:15">
      <c r="B72" s="3"/>
      <c r="C72" s="3"/>
      <c r="D72" s="76"/>
      <c r="E72" s="3"/>
      <c r="F72" s="78"/>
      <c r="G72" s="3"/>
      <c r="H72" s="442"/>
      <c r="I72" s="3"/>
      <c r="J72" s="3"/>
      <c r="K72" s="3"/>
      <c r="L72" s="3"/>
      <c r="M72" s="3"/>
      <c r="N72" s="3"/>
      <c r="O72" s="3"/>
    </row>
    <row r="73" spans="2:15" ht="18.75">
      <c r="B73" s="403" t="s">
        <v>173</v>
      </c>
      <c r="C73" s="13" t="s">
        <v>267</v>
      </c>
      <c r="D73" s="76"/>
      <c r="E73" s="3"/>
      <c r="F73" s="78"/>
      <c r="G73" s="3"/>
      <c r="H73" s="442"/>
      <c r="I73" s="3"/>
      <c r="J73" s="3"/>
      <c r="K73" s="3"/>
      <c r="L73" s="3"/>
      <c r="M73" s="3"/>
      <c r="N73" s="3"/>
      <c r="O73" s="3"/>
    </row>
    <row r="74" spans="2:15">
      <c r="B74" s="3"/>
      <c r="C74" s="3"/>
      <c r="D74" s="76"/>
      <c r="E74" s="3"/>
      <c r="F74" s="78"/>
      <c r="G74" s="3"/>
      <c r="H74" s="442"/>
      <c r="I74" s="3"/>
      <c r="J74" s="3"/>
      <c r="K74" s="3"/>
      <c r="L74" s="3"/>
      <c r="M74" s="3"/>
      <c r="N74" s="3"/>
      <c r="O74" s="3"/>
    </row>
    <row r="75" spans="2:15">
      <c r="B75" s="3"/>
      <c r="C75" s="3" t="str">
        <f>+"Average Transmission Plant Balance for "&amp;TCOS!L4&amp;" (TCOS, ln "&amp;TCOS!B68&amp;")"</f>
        <v>Average Transmission Plant Balance for 2025 (TCOS, ln 21)</v>
      </c>
      <c r="D75" s="76"/>
      <c r="G75" s="442">
        <f>TCOS!L68</f>
        <v>166012340.02615386</v>
      </c>
      <c r="I75" s="3"/>
      <c r="J75" s="3"/>
      <c r="K75" s="457"/>
      <c r="L75" s="3"/>
      <c r="M75" s="3"/>
      <c r="N75" s="3"/>
      <c r="O75" s="3"/>
    </row>
    <row r="76" spans="2:15">
      <c r="B76" s="3"/>
      <c r="C76" s="455" t="str">
        <f>"Annual Depreciation and Amortization Expense  (TCOS, ln "&amp;TCOS!B181&amp;")"</f>
        <v>Annual Depreciation and Amortization Expense  (TCOS, ln 100)</v>
      </c>
      <c r="D76" s="76"/>
      <c r="E76" s="3"/>
      <c r="G76" s="456">
        <f>TCOS!L181</f>
        <v>3428949.1263215295</v>
      </c>
      <c r="H76" s="442"/>
      <c r="I76" s="3"/>
      <c r="J76" s="3"/>
      <c r="K76" s="3"/>
      <c r="L76" s="3"/>
      <c r="M76" s="3"/>
      <c r="N76" s="3"/>
      <c r="O76" s="3"/>
    </row>
    <row r="77" spans="2:15">
      <c r="B77" s="3"/>
      <c r="C77" s="3" t="s">
        <v>268</v>
      </c>
      <c r="D77" s="76"/>
      <c r="E77" s="3"/>
      <c r="G77" s="78">
        <f>+G76/G75</f>
        <v>2.0654784612886772E-2</v>
      </c>
      <c r="H77" s="458"/>
      <c r="I77" s="3"/>
      <c r="J77" s="3"/>
      <c r="K77" s="3"/>
      <c r="L77" s="3"/>
      <c r="M77" s="3"/>
      <c r="N77" s="3"/>
      <c r="O77" s="3"/>
    </row>
    <row r="78" spans="2:15">
      <c r="B78" s="3"/>
      <c r="C78" s="3" t="s">
        <v>269</v>
      </c>
      <c r="D78" s="76"/>
      <c r="E78" s="3"/>
      <c r="G78" s="458">
        <f>1/G77</f>
        <v>48.414932362746008</v>
      </c>
      <c r="H78" s="442"/>
      <c r="I78" s="3"/>
      <c r="J78" s="3"/>
      <c r="K78" s="3"/>
      <c r="L78" s="3"/>
      <c r="M78" s="3"/>
      <c r="N78" s="3"/>
      <c r="O78" s="3"/>
    </row>
    <row r="79" spans="2:15">
      <c r="B79" s="3"/>
      <c r="C79" s="3" t="s">
        <v>270</v>
      </c>
      <c r="D79" s="76"/>
      <c r="E79" s="3"/>
      <c r="G79" s="459">
        <f>ROUND(G78,0)</f>
        <v>48</v>
      </c>
      <c r="H79" s="442"/>
      <c r="I79" s="3"/>
      <c r="J79" s="3"/>
      <c r="K79" s="3"/>
      <c r="L79" s="3"/>
      <c r="M79" s="3"/>
      <c r="N79" s="3"/>
      <c r="O79" s="3"/>
    </row>
    <row r="80" spans="2:15">
      <c r="B80" s="3"/>
      <c r="C80" s="3"/>
      <c r="D80" s="76"/>
      <c r="E80" s="3"/>
      <c r="G80" s="459"/>
      <c r="H80" s="442"/>
      <c r="I80" s="3"/>
      <c r="J80" s="3"/>
      <c r="K80" s="3"/>
      <c r="L80" s="3"/>
      <c r="M80" s="3"/>
      <c r="N80" s="3"/>
      <c r="O80" s="3"/>
    </row>
    <row r="81" spans="1:16" ht="20.25">
      <c r="A81" s="401" t="s">
        <v>883</v>
      </c>
      <c r="B81" s="3"/>
      <c r="C81" s="3"/>
      <c r="D81" s="76"/>
      <c r="E81" s="3"/>
      <c r="F81" s="78"/>
      <c r="G81" s="3"/>
      <c r="H81" s="925"/>
      <c r="K81" s="10"/>
      <c r="L81" s="10"/>
      <c r="M81" s="10"/>
      <c r="N81" s="10" t="str">
        <f>"Page "&amp;SUM(P$6:P81)&amp;" of "</f>
        <v xml:space="preserve">Page 1 of </v>
      </c>
      <c r="O81" s="402">
        <f>COUNT(P$6:P$57707)</f>
        <v>1</v>
      </c>
      <c r="P81" s="461"/>
    </row>
    <row r="82" spans="1:16">
      <c r="B82" s="3"/>
      <c r="C82" s="3"/>
      <c r="D82" s="76"/>
      <c r="E82" s="3"/>
      <c r="F82" s="3"/>
      <c r="G82" s="3"/>
      <c r="H82" s="925"/>
      <c r="I82" s="3"/>
      <c r="J82" s="3"/>
      <c r="K82" s="3"/>
      <c r="L82" s="3"/>
      <c r="M82" s="3"/>
      <c r="N82" s="3"/>
      <c r="O82" s="3"/>
    </row>
    <row r="83" spans="1:16" ht="18">
      <c r="B83" s="403" t="s">
        <v>174</v>
      </c>
      <c r="C83" s="462" t="s">
        <v>290</v>
      </c>
      <c r="D83" s="76"/>
      <c r="E83" s="3"/>
      <c r="F83" s="3"/>
      <c r="G83" s="3"/>
      <c r="H83" s="925"/>
      <c r="I83" s="925"/>
      <c r="J83" s="926"/>
      <c r="K83" s="925"/>
      <c r="L83" s="925"/>
      <c r="M83" s="925"/>
      <c r="N83" s="925"/>
      <c r="O83" s="3"/>
    </row>
    <row r="84" spans="1:16" ht="18.75">
      <c r="B84" s="403"/>
      <c r="C84" s="13"/>
      <c r="D84" s="76"/>
      <c r="E84" s="3"/>
      <c r="F84" s="3"/>
      <c r="G84" s="3"/>
      <c r="H84" s="925"/>
      <c r="I84" s="925"/>
      <c r="J84" s="926"/>
      <c r="K84" s="925"/>
      <c r="L84" s="925"/>
      <c r="M84" s="925"/>
      <c r="N84" s="925"/>
      <c r="O84" s="3"/>
    </row>
    <row r="85" spans="1:16" ht="18.75">
      <c r="B85" s="403"/>
      <c r="C85" s="13" t="s">
        <v>291</v>
      </c>
      <c r="D85" s="76"/>
      <c r="E85" s="3"/>
      <c r="F85" s="3"/>
      <c r="G85" s="3"/>
      <c r="H85" s="925"/>
      <c r="I85" s="925"/>
      <c r="J85" s="926"/>
      <c r="K85" s="925"/>
      <c r="L85" s="925"/>
      <c r="M85" s="925"/>
      <c r="N85" s="925"/>
      <c r="O85" s="3"/>
    </row>
    <row r="86" spans="1:16" ht="15.75" thickBot="1">
      <c r="C86" s="237"/>
      <c r="D86" s="76"/>
      <c r="E86" s="3"/>
      <c r="F86" s="3"/>
      <c r="G86" s="3"/>
      <c r="H86" s="925"/>
      <c r="I86" s="925"/>
      <c r="J86" s="926"/>
      <c r="K86" s="925"/>
      <c r="L86" s="925"/>
      <c r="M86" s="925"/>
      <c r="N86" s="925"/>
      <c r="O86" s="3"/>
    </row>
    <row r="87" spans="1:16" ht="15.75">
      <c r="C87" s="404" t="s">
        <v>292</v>
      </c>
      <c r="D87" s="76"/>
      <c r="E87" s="3"/>
      <c r="F87" s="3"/>
      <c r="G87" s="927"/>
      <c r="H87" s="3" t="s">
        <v>271</v>
      </c>
      <c r="I87" s="3"/>
      <c r="J87" s="3"/>
      <c r="K87" s="463" t="s">
        <v>296</v>
      </c>
      <c r="L87" s="464"/>
      <c r="M87" s="465"/>
      <c r="N87" s="928">
        <f>VLOOKUP(I93,C100:O159,5)</f>
        <v>126709.80165075778</v>
      </c>
      <c r="O87" s="3"/>
    </row>
    <row r="88" spans="1:16" ht="15.75">
      <c r="C88" s="404"/>
      <c r="D88" s="76"/>
      <c r="E88" s="3"/>
      <c r="F88" s="3"/>
      <c r="G88" s="3"/>
      <c r="H88" s="929"/>
      <c r="I88" s="929"/>
      <c r="J88" s="930"/>
      <c r="K88" s="468" t="s">
        <v>297</v>
      </c>
      <c r="L88" s="931"/>
      <c r="M88" s="3"/>
      <c r="N88" s="932">
        <f>VLOOKUP(I93,C100:O159,6)</f>
        <v>126709.80165075778</v>
      </c>
      <c r="O88" s="3"/>
    </row>
    <row r="89" spans="1:16" ht="13.5" thickBot="1">
      <c r="C89" s="469" t="s">
        <v>293</v>
      </c>
      <c r="D89" s="1295" t="s">
        <v>889</v>
      </c>
      <c r="E89" s="1295"/>
      <c r="F89" s="1295"/>
      <c r="G89" s="1295"/>
      <c r="H89" s="925"/>
      <c r="I89" s="925"/>
      <c r="J89" s="926"/>
      <c r="K89" s="933" t="s">
        <v>449</v>
      </c>
      <c r="L89" s="934"/>
      <c r="M89" s="934"/>
      <c r="N89" s="935">
        <f>+N88-N87</f>
        <v>0</v>
      </c>
      <c r="O89" s="3"/>
    </row>
    <row r="90" spans="1:16">
      <c r="C90" s="471"/>
      <c r="D90" s="472"/>
      <c r="E90" s="459"/>
      <c r="F90" s="459"/>
      <c r="G90" s="473"/>
      <c r="H90" s="925"/>
      <c r="I90" s="925"/>
      <c r="J90" s="926"/>
      <c r="K90" s="925"/>
      <c r="L90" s="925"/>
      <c r="M90" s="925"/>
      <c r="N90" s="925"/>
      <c r="O90" s="3"/>
    </row>
    <row r="91" spans="1:16" ht="13.5" thickBot="1">
      <c r="C91" s="471"/>
      <c r="D91" s="936"/>
      <c r="E91" s="473"/>
      <c r="F91" s="473"/>
      <c r="G91" s="473"/>
      <c r="H91" s="473"/>
      <c r="I91" s="473"/>
      <c r="J91" s="473"/>
      <c r="K91" s="473"/>
      <c r="L91" s="473"/>
      <c r="M91" s="473"/>
      <c r="N91" s="473"/>
      <c r="O91" s="3"/>
    </row>
    <row r="92" spans="1:16" ht="13.5" thickBot="1">
      <c r="C92" s="474" t="s">
        <v>294</v>
      </c>
      <c r="D92" s="475"/>
      <c r="E92" s="475"/>
      <c r="F92" s="475"/>
      <c r="G92" s="475"/>
      <c r="H92" s="475"/>
      <c r="I92" s="476"/>
      <c r="K92" s="3"/>
      <c r="L92" s="3"/>
      <c r="M92" s="3"/>
      <c r="N92" s="3"/>
      <c r="O92" s="3"/>
    </row>
    <row r="93" spans="1:16" ht="15">
      <c r="C93" s="477" t="s">
        <v>272</v>
      </c>
      <c r="D93" s="937">
        <v>1115334</v>
      </c>
      <c r="E93" s="3" t="s">
        <v>273</v>
      </c>
      <c r="G93" s="76"/>
      <c r="H93" s="76"/>
      <c r="I93" s="478">
        <v>2018</v>
      </c>
      <c r="J93" s="130"/>
      <c r="K93" s="1296" t="s">
        <v>458</v>
      </c>
      <c r="L93" s="1296"/>
      <c r="M93" s="1296"/>
      <c r="N93" s="1296"/>
      <c r="O93" s="1296"/>
    </row>
    <row r="94" spans="1:16">
      <c r="C94" s="477" t="s">
        <v>275</v>
      </c>
      <c r="D94" s="638">
        <v>2013</v>
      </c>
      <c r="E94" s="477" t="s">
        <v>276</v>
      </c>
      <c r="F94" s="76"/>
      <c r="H94"/>
      <c r="I94" s="938">
        <f>IF(G87="",0,$F$15)</f>
        <v>0</v>
      </c>
      <c r="J94" s="479"/>
      <c r="K94" s="926" t="s">
        <v>458</v>
      </c>
    </row>
    <row r="95" spans="1:16">
      <c r="C95" s="477" t="s">
        <v>277</v>
      </c>
      <c r="D95" s="937">
        <v>10</v>
      </c>
      <c r="E95" s="477" t="s">
        <v>278</v>
      </c>
      <c r="F95" s="76"/>
      <c r="H95"/>
      <c r="I95" s="480">
        <f>$G$70</f>
        <v>0.10276472848015532</v>
      </c>
      <c r="J95" s="78"/>
      <c r="K95" t="str">
        <f>"          INPUT PROJECTED ARR (WITH &amp; WITHOUT INCENTIVES) FROM EACH PRIOR YEAR"</f>
        <v xml:space="preserve">          INPUT PROJECTED ARR (WITH &amp; WITHOUT INCENTIVES) FROM EACH PRIOR YEAR</v>
      </c>
    </row>
    <row r="96" spans="1:16">
      <c r="C96" s="477" t="s">
        <v>279</v>
      </c>
      <c r="D96" s="481">
        <f>G$79</f>
        <v>48</v>
      </c>
      <c r="E96" s="477" t="s">
        <v>280</v>
      </c>
      <c r="F96" s="76"/>
      <c r="H96"/>
      <c r="I96" s="480">
        <f>IF(G87="",I95,$G$67)</f>
        <v>0.10276472848015532</v>
      </c>
      <c r="J96" s="78"/>
      <c r="K96" t="s">
        <v>357</v>
      </c>
    </row>
    <row r="97" spans="1:15" ht="13.5" thickBot="1">
      <c r="C97" s="477" t="s">
        <v>281</v>
      </c>
      <c r="D97" s="630" t="s">
        <v>884</v>
      </c>
      <c r="E97" s="482" t="s">
        <v>282</v>
      </c>
      <c r="F97" s="483"/>
      <c r="G97" s="484"/>
      <c r="H97" s="484"/>
      <c r="I97" s="935">
        <f>IF(D93=0,0,D93/D96)</f>
        <v>23236.125</v>
      </c>
      <c r="J97" s="926"/>
      <c r="K97" s="926" t="s">
        <v>363</v>
      </c>
      <c r="L97" s="926"/>
      <c r="M97" s="926"/>
      <c r="N97" s="926"/>
      <c r="O97" s="3"/>
    </row>
    <row r="98" spans="1:15" ht="51">
      <c r="A98" s="12"/>
      <c r="B98" s="12"/>
      <c r="C98" s="485" t="s">
        <v>272</v>
      </c>
      <c r="D98" s="939" t="s">
        <v>283</v>
      </c>
      <c r="E98" s="940" t="s">
        <v>284</v>
      </c>
      <c r="F98" s="939" t="s">
        <v>285</v>
      </c>
      <c r="G98" s="940" t="s">
        <v>356</v>
      </c>
      <c r="H98" s="941" t="s">
        <v>356</v>
      </c>
      <c r="I98" s="485" t="s">
        <v>295</v>
      </c>
      <c r="J98" s="489"/>
      <c r="K98" s="940" t="s">
        <v>365</v>
      </c>
      <c r="L98" s="942"/>
      <c r="M98" s="940" t="s">
        <v>365</v>
      </c>
      <c r="N98" s="942"/>
      <c r="O98" s="942"/>
    </row>
    <row r="99" spans="1:15" ht="13.5" thickBot="1">
      <c r="C99" s="490" t="s">
        <v>177</v>
      </c>
      <c r="D99" s="491" t="s">
        <v>178</v>
      </c>
      <c r="E99" s="490" t="s">
        <v>37</v>
      </c>
      <c r="F99" s="491" t="s">
        <v>178</v>
      </c>
      <c r="G99" s="943" t="s">
        <v>298</v>
      </c>
      <c r="H99" s="944" t="s">
        <v>300</v>
      </c>
      <c r="I99" s="490" t="s">
        <v>389</v>
      </c>
      <c r="J99" s="494"/>
      <c r="K99" s="943" t="s">
        <v>287</v>
      </c>
      <c r="L99" s="945"/>
      <c r="M99" s="943" t="s">
        <v>300</v>
      </c>
      <c r="N99" s="945"/>
      <c r="O99" s="945"/>
    </row>
    <row r="100" spans="1:15">
      <c r="C100" s="495">
        <f>IF(D94= "","-",D94)</f>
        <v>2013</v>
      </c>
      <c r="D100" s="459">
        <f>+D93</f>
        <v>1115334</v>
      </c>
      <c r="E100" s="946">
        <f>+I97/12*(12-D95)</f>
        <v>3872.6875</v>
      </c>
      <c r="F100" s="459">
        <f t="shared" ref="F100:F159" si="0">+D100-E100</f>
        <v>1111461.3125</v>
      </c>
      <c r="G100" s="947">
        <f>+$I$95*((D100+F100)/2)+E100</f>
        <v>118290.69533497255</v>
      </c>
      <c r="H100" s="948">
        <f>$I$96*((D100+F100)/2)+E100</f>
        <v>118290.69533497255</v>
      </c>
      <c r="I100" s="499">
        <f>+H100-G100</f>
        <v>0</v>
      </c>
      <c r="J100" s="499"/>
      <c r="K100" s="632">
        <v>44166</v>
      </c>
      <c r="L100" s="501"/>
      <c r="M100" s="632">
        <v>44166</v>
      </c>
      <c r="N100" s="501"/>
      <c r="O100" s="501"/>
    </row>
    <row r="101" spans="1:15">
      <c r="C101" s="495">
        <f>IF(D94="","-",+C100+1)</f>
        <v>2014</v>
      </c>
      <c r="D101" s="459">
        <f t="shared" ref="D101:D159" si="1">F100</f>
        <v>1111461.3125</v>
      </c>
      <c r="E101" s="502">
        <f>IF(D101&gt;$I$97,$I$97,D101)</f>
        <v>23236.125</v>
      </c>
      <c r="F101" s="459">
        <f t="shared" si="0"/>
        <v>1088225.1875</v>
      </c>
      <c r="G101" s="946">
        <f t="shared" ref="G101:G159" si="2">+$I$95*((D101+F101)/2)+E101</f>
        <v>136261.21795698159</v>
      </c>
      <c r="H101" s="949">
        <f t="shared" ref="H101:H159" si="3">$I$96*((D101+F101)/2)+E101</f>
        <v>136261.21795698159</v>
      </c>
      <c r="I101" s="499">
        <f t="shared" ref="I101:I159" si="4">+H101-G101</f>
        <v>0</v>
      </c>
      <c r="J101" s="499"/>
      <c r="K101" s="633">
        <v>33234</v>
      </c>
      <c r="L101" s="505"/>
      <c r="M101" s="633">
        <v>33234</v>
      </c>
      <c r="N101" s="505"/>
      <c r="O101" s="505"/>
    </row>
    <row r="102" spans="1:15">
      <c r="C102" s="495">
        <f>IF(D94="","-",+C101+1)</f>
        <v>2015</v>
      </c>
      <c r="D102" s="459">
        <f t="shared" si="1"/>
        <v>1088225.1875</v>
      </c>
      <c r="E102" s="502">
        <f t="shared" ref="E102:E159" si="5">IF(D102&gt;$I$97,$I$97,D102)</f>
        <v>23236.125</v>
      </c>
      <c r="F102" s="459">
        <f t="shared" si="0"/>
        <v>1064989.0625</v>
      </c>
      <c r="G102" s="946">
        <f t="shared" si="2"/>
        <v>133873.36388042563</v>
      </c>
      <c r="H102" s="949">
        <f t="shared" si="3"/>
        <v>133873.36388042563</v>
      </c>
      <c r="I102" s="499">
        <f t="shared" si="4"/>
        <v>0</v>
      </c>
      <c r="J102" s="499"/>
      <c r="K102" s="633">
        <v>58699</v>
      </c>
      <c r="L102" s="505"/>
      <c r="M102" s="633">
        <v>58699</v>
      </c>
      <c r="N102" s="505"/>
      <c r="O102" s="505"/>
    </row>
    <row r="103" spans="1:15">
      <c r="C103" s="495">
        <f>IF(D94="","-",+C102+1)</f>
        <v>2016</v>
      </c>
      <c r="D103" s="459">
        <f t="shared" si="1"/>
        <v>1064989.0625</v>
      </c>
      <c r="E103" s="502">
        <f t="shared" si="5"/>
        <v>23236.125</v>
      </c>
      <c r="F103" s="459">
        <f t="shared" si="0"/>
        <v>1041752.9375</v>
      </c>
      <c r="G103" s="946">
        <f t="shared" si="2"/>
        <v>131485.5098038697</v>
      </c>
      <c r="H103" s="949">
        <f t="shared" si="3"/>
        <v>131485.5098038697</v>
      </c>
      <c r="I103" s="499">
        <f t="shared" si="4"/>
        <v>0</v>
      </c>
      <c r="J103" s="499"/>
      <c r="K103" s="633">
        <v>107095</v>
      </c>
      <c r="L103" s="505"/>
      <c r="M103" s="633">
        <v>107095</v>
      </c>
      <c r="N103" s="505"/>
      <c r="O103" s="505"/>
    </row>
    <row r="104" spans="1:15">
      <c r="C104" s="495">
        <f>IF(D94="","-",+C103+1)</f>
        <v>2017</v>
      </c>
      <c r="D104" s="459">
        <f t="shared" si="1"/>
        <v>1041752.9375</v>
      </c>
      <c r="E104" s="502">
        <f t="shared" si="5"/>
        <v>23236.125</v>
      </c>
      <c r="F104" s="459">
        <f t="shared" si="0"/>
        <v>1018516.8125</v>
      </c>
      <c r="G104" s="946">
        <f t="shared" si="2"/>
        <v>129097.65572731374</v>
      </c>
      <c r="H104" s="949">
        <f t="shared" si="3"/>
        <v>129097.65572731374</v>
      </c>
      <c r="I104" s="499">
        <f t="shared" si="4"/>
        <v>0</v>
      </c>
      <c r="J104" s="499"/>
      <c r="K104" s="950">
        <v>154474</v>
      </c>
      <c r="L104" s="505"/>
      <c r="M104" s="950">
        <v>154474</v>
      </c>
      <c r="N104" s="505"/>
      <c r="O104" s="505"/>
    </row>
    <row r="105" spans="1:15">
      <c r="C105" s="958">
        <f>IF(D94="","-",+C104+1)</f>
        <v>2018</v>
      </c>
      <c r="D105" s="459">
        <f t="shared" si="1"/>
        <v>1018516.8125</v>
      </c>
      <c r="E105" s="502">
        <f t="shared" si="5"/>
        <v>23236.125</v>
      </c>
      <c r="F105" s="459">
        <f t="shared" si="0"/>
        <v>995280.6875</v>
      </c>
      <c r="G105" s="946">
        <f t="shared" si="2"/>
        <v>126709.80165075778</v>
      </c>
      <c r="H105" s="949">
        <f t="shared" si="3"/>
        <v>126709.80165075778</v>
      </c>
      <c r="I105" s="499">
        <f t="shared" si="4"/>
        <v>0</v>
      </c>
      <c r="J105" s="499"/>
      <c r="K105" s="633" t="s">
        <v>114</v>
      </c>
      <c r="L105" s="505"/>
      <c r="M105" s="633" t="s">
        <v>114</v>
      </c>
      <c r="N105" s="505"/>
      <c r="O105" s="505"/>
    </row>
    <row r="106" spans="1:15">
      <c r="C106" s="495">
        <f>IF(D94="","-",+C105+1)</f>
        <v>2019</v>
      </c>
      <c r="D106" s="459">
        <f t="shared" si="1"/>
        <v>995280.6875</v>
      </c>
      <c r="E106" s="502">
        <f t="shared" si="5"/>
        <v>23236.125</v>
      </c>
      <c r="F106" s="459">
        <f t="shared" si="0"/>
        <v>972044.5625</v>
      </c>
      <c r="G106" s="946">
        <f t="shared" si="2"/>
        <v>124321.94757420184</v>
      </c>
      <c r="H106" s="949">
        <f t="shared" si="3"/>
        <v>124321.94757420184</v>
      </c>
      <c r="I106" s="499">
        <f t="shared" si="4"/>
        <v>0</v>
      </c>
      <c r="J106" s="499"/>
      <c r="K106" s="633" t="s">
        <v>114</v>
      </c>
      <c r="L106" s="505"/>
      <c r="M106" s="633" t="s">
        <v>114</v>
      </c>
      <c r="N106" s="505"/>
      <c r="O106" s="505"/>
    </row>
    <row r="107" spans="1:15">
      <c r="C107" s="495">
        <f>IF(D94="","-",+C106+1)</f>
        <v>2020</v>
      </c>
      <c r="D107" s="459">
        <f t="shared" si="1"/>
        <v>972044.5625</v>
      </c>
      <c r="E107" s="502">
        <f t="shared" si="5"/>
        <v>23236.125</v>
      </c>
      <c r="F107" s="459">
        <f t="shared" si="0"/>
        <v>948808.4375</v>
      </c>
      <c r="G107" s="946">
        <f t="shared" si="2"/>
        <v>121934.0934976459</v>
      </c>
      <c r="H107" s="949">
        <f t="shared" si="3"/>
        <v>121934.0934976459</v>
      </c>
      <c r="I107" s="499">
        <f t="shared" si="4"/>
        <v>0</v>
      </c>
      <c r="J107" s="499"/>
      <c r="K107" s="633" t="s">
        <v>114</v>
      </c>
      <c r="L107" s="505"/>
      <c r="M107" s="633" t="s">
        <v>114</v>
      </c>
      <c r="N107" s="505"/>
      <c r="O107" s="505"/>
    </row>
    <row r="108" spans="1:15">
      <c r="C108" s="495">
        <f>IF(D94="","-",+C107+1)</f>
        <v>2021</v>
      </c>
      <c r="D108" s="459">
        <f t="shared" si="1"/>
        <v>948808.4375</v>
      </c>
      <c r="E108" s="502">
        <f t="shared" si="5"/>
        <v>23236.125</v>
      </c>
      <c r="F108" s="459">
        <f t="shared" si="0"/>
        <v>925572.3125</v>
      </c>
      <c r="G108" s="946">
        <f t="shared" si="2"/>
        <v>119546.23942108994</v>
      </c>
      <c r="H108" s="949">
        <f t="shared" si="3"/>
        <v>119546.23942108994</v>
      </c>
      <c r="I108" s="499">
        <f t="shared" si="4"/>
        <v>0</v>
      </c>
      <c r="J108" s="499"/>
      <c r="K108" s="633" t="s">
        <v>114</v>
      </c>
      <c r="L108" s="505"/>
      <c r="M108" s="633" t="s">
        <v>114</v>
      </c>
      <c r="N108" s="505"/>
      <c r="O108" s="505"/>
    </row>
    <row r="109" spans="1:15">
      <c r="C109" s="958">
        <f>IF(D94="","-",+C108+1)</f>
        <v>2022</v>
      </c>
      <c r="D109" s="951">
        <f t="shared" si="1"/>
        <v>925572.3125</v>
      </c>
      <c r="E109" s="952">
        <f t="shared" si="5"/>
        <v>23236.125</v>
      </c>
      <c r="F109" s="951">
        <f t="shared" si="0"/>
        <v>902336.1875</v>
      </c>
      <c r="G109" s="953">
        <f t="shared" si="2"/>
        <v>117158.38534453399</v>
      </c>
      <c r="H109" s="954">
        <f t="shared" si="3"/>
        <v>117158.38534453399</v>
      </c>
      <c r="I109" s="955">
        <f t="shared" si="4"/>
        <v>0</v>
      </c>
      <c r="J109" s="499"/>
      <c r="K109" s="633"/>
      <c r="L109" s="505"/>
      <c r="M109" s="633"/>
      <c r="N109" s="505"/>
      <c r="O109" s="505"/>
    </row>
    <row r="110" spans="1:15">
      <c r="C110" s="495">
        <f>IF(D94="","-",+C109+1)</f>
        <v>2023</v>
      </c>
      <c r="D110" s="459">
        <f t="shared" si="1"/>
        <v>902336.1875</v>
      </c>
      <c r="E110" s="502">
        <f t="shared" si="5"/>
        <v>23236.125</v>
      </c>
      <c r="F110" s="459">
        <f t="shared" si="0"/>
        <v>879100.0625</v>
      </c>
      <c r="G110" s="946">
        <f t="shared" si="2"/>
        <v>114770.53126797805</v>
      </c>
      <c r="H110" s="949">
        <f t="shared" si="3"/>
        <v>114770.53126797805</v>
      </c>
      <c r="I110" s="499">
        <f t="shared" si="4"/>
        <v>0</v>
      </c>
      <c r="J110" s="499"/>
      <c r="K110" s="633"/>
      <c r="L110" s="505"/>
      <c r="M110" s="633"/>
      <c r="N110" s="505"/>
      <c r="O110" s="505"/>
    </row>
    <row r="111" spans="1:15">
      <c r="C111" s="495">
        <f>IF(D94="","-",+C110+1)</f>
        <v>2024</v>
      </c>
      <c r="D111" s="459">
        <f t="shared" si="1"/>
        <v>879100.0625</v>
      </c>
      <c r="E111" s="502">
        <f t="shared" si="5"/>
        <v>23236.125</v>
      </c>
      <c r="F111" s="459">
        <f t="shared" si="0"/>
        <v>855863.9375</v>
      </c>
      <c r="G111" s="946">
        <f t="shared" si="2"/>
        <v>112382.6771914221</v>
      </c>
      <c r="H111" s="949">
        <f t="shared" si="3"/>
        <v>112382.6771914221</v>
      </c>
      <c r="I111" s="499">
        <f t="shared" si="4"/>
        <v>0</v>
      </c>
      <c r="J111" s="499"/>
      <c r="K111" s="633"/>
      <c r="L111" s="505"/>
      <c r="M111" s="633"/>
      <c r="N111" s="505"/>
      <c r="O111" s="505"/>
    </row>
    <row r="112" spans="1:15">
      <c r="C112" s="495">
        <f>IF(D94="","-",+C111+1)</f>
        <v>2025</v>
      </c>
      <c r="D112" s="459">
        <f t="shared" si="1"/>
        <v>855863.9375</v>
      </c>
      <c r="E112" s="502">
        <f t="shared" si="5"/>
        <v>23236.125</v>
      </c>
      <c r="F112" s="459">
        <f t="shared" si="0"/>
        <v>832627.8125</v>
      </c>
      <c r="G112" s="946">
        <f t="shared" si="2"/>
        <v>109994.82311486614</v>
      </c>
      <c r="H112" s="949">
        <f t="shared" si="3"/>
        <v>109994.82311486614</v>
      </c>
      <c r="I112" s="499">
        <f t="shared" si="4"/>
        <v>0</v>
      </c>
      <c r="J112" s="499"/>
      <c r="K112" s="633"/>
      <c r="L112" s="505"/>
      <c r="M112" s="633"/>
      <c r="N112" s="505"/>
      <c r="O112" s="505"/>
    </row>
    <row r="113" spans="3:15">
      <c r="C113" s="495">
        <f>IF(D94="","-",+C112+1)</f>
        <v>2026</v>
      </c>
      <c r="D113" s="459">
        <f t="shared" si="1"/>
        <v>832627.8125</v>
      </c>
      <c r="E113" s="502">
        <f t="shared" si="5"/>
        <v>23236.125</v>
      </c>
      <c r="F113" s="459">
        <f t="shared" si="0"/>
        <v>809391.6875</v>
      </c>
      <c r="G113" s="946">
        <f t="shared" si="2"/>
        <v>107606.9690383102</v>
      </c>
      <c r="H113" s="949">
        <f t="shared" si="3"/>
        <v>107606.9690383102</v>
      </c>
      <c r="I113" s="499">
        <f t="shared" si="4"/>
        <v>0</v>
      </c>
      <c r="J113" s="499"/>
      <c r="K113" s="633"/>
      <c r="L113" s="505"/>
      <c r="M113" s="633"/>
      <c r="N113" s="505"/>
      <c r="O113" s="505"/>
    </row>
    <row r="114" spans="3:15">
      <c r="C114" s="495">
        <f>IF(D94="","-",+C113+1)</f>
        <v>2027</v>
      </c>
      <c r="D114" s="459">
        <f t="shared" si="1"/>
        <v>809391.6875</v>
      </c>
      <c r="E114" s="502">
        <f t="shared" si="5"/>
        <v>23236.125</v>
      </c>
      <c r="F114" s="459">
        <f t="shared" si="0"/>
        <v>786155.5625</v>
      </c>
      <c r="G114" s="946">
        <f t="shared" si="2"/>
        <v>105219.11496175425</v>
      </c>
      <c r="H114" s="949">
        <f t="shared" si="3"/>
        <v>105219.11496175425</v>
      </c>
      <c r="I114" s="499">
        <f t="shared" si="4"/>
        <v>0</v>
      </c>
      <c r="J114" s="499"/>
      <c r="K114" s="633"/>
      <c r="L114" s="505"/>
      <c r="M114" s="633"/>
      <c r="N114" s="505"/>
      <c r="O114" s="505"/>
    </row>
    <row r="115" spans="3:15">
      <c r="C115" s="495">
        <f>IF(D94="","-",+C114+1)</f>
        <v>2028</v>
      </c>
      <c r="D115" s="459">
        <f t="shared" si="1"/>
        <v>786155.5625</v>
      </c>
      <c r="E115" s="502">
        <f t="shared" si="5"/>
        <v>23236.125</v>
      </c>
      <c r="F115" s="459">
        <f t="shared" si="0"/>
        <v>762919.4375</v>
      </c>
      <c r="G115" s="946">
        <f t="shared" si="2"/>
        <v>102831.2608851983</v>
      </c>
      <c r="H115" s="949">
        <f t="shared" si="3"/>
        <v>102831.2608851983</v>
      </c>
      <c r="I115" s="499">
        <f t="shared" si="4"/>
        <v>0</v>
      </c>
      <c r="J115" s="499"/>
      <c r="K115" s="633"/>
      <c r="L115" s="505"/>
      <c r="M115" s="633"/>
      <c r="N115" s="505"/>
      <c r="O115" s="505"/>
    </row>
    <row r="116" spans="3:15">
      <c r="C116" s="495">
        <f>IF(D94="","-",+C115+1)</f>
        <v>2029</v>
      </c>
      <c r="D116" s="459">
        <f t="shared" si="1"/>
        <v>762919.4375</v>
      </c>
      <c r="E116" s="502">
        <f t="shared" si="5"/>
        <v>23236.125</v>
      </c>
      <c r="F116" s="459">
        <f t="shared" si="0"/>
        <v>739683.3125</v>
      </c>
      <c r="G116" s="946">
        <f t="shared" si="2"/>
        <v>100443.40680864235</v>
      </c>
      <c r="H116" s="949">
        <f t="shared" si="3"/>
        <v>100443.40680864235</v>
      </c>
      <c r="I116" s="499">
        <f t="shared" si="4"/>
        <v>0</v>
      </c>
      <c r="J116" s="499"/>
      <c r="K116" s="633"/>
      <c r="L116" s="505"/>
      <c r="M116" s="633"/>
      <c r="N116" s="505"/>
      <c r="O116" s="505"/>
    </row>
    <row r="117" spans="3:15">
      <c r="C117" s="495">
        <f>IF(D94="","-",+C116+1)</f>
        <v>2030</v>
      </c>
      <c r="D117" s="459">
        <f t="shared" si="1"/>
        <v>739683.3125</v>
      </c>
      <c r="E117" s="502">
        <f t="shared" si="5"/>
        <v>23236.125</v>
      </c>
      <c r="F117" s="459">
        <f t="shared" si="0"/>
        <v>716447.1875</v>
      </c>
      <c r="G117" s="946">
        <f t="shared" si="2"/>
        <v>98055.552732086406</v>
      </c>
      <c r="H117" s="949">
        <f t="shared" si="3"/>
        <v>98055.552732086406</v>
      </c>
      <c r="I117" s="499">
        <f t="shared" si="4"/>
        <v>0</v>
      </c>
      <c r="J117" s="499"/>
      <c r="K117" s="633"/>
      <c r="L117" s="505"/>
      <c r="M117" s="633"/>
      <c r="N117" s="505"/>
      <c r="O117" s="505"/>
    </row>
    <row r="118" spans="3:15">
      <c r="C118" s="495">
        <f>IF(D94="","-",+C117+1)</f>
        <v>2031</v>
      </c>
      <c r="D118" s="459">
        <f t="shared" si="1"/>
        <v>716447.1875</v>
      </c>
      <c r="E118" s="502">
        <f t="shared" si="5"/>
        <v>23236.125</v>
      </c>
      <c r="F118" s="459">
        <f t="shared" si="0"/>
        <v>693211.0625</v>
      </c>
      <c r="G118" s="946">
        <f t="shared" si="2"/>
        <v>95667.698655530447</v>
      </c>
      <c r="H118" s="949">
        <f t="shared" si="3"/>
        <v>95667.698655530447</v>
      </c>
      <c r="I118" s="499">
        <f t="shared" si="4"/>
        <v>0</v>
      </c>
      <c r="J118" s="499"/>
      <c r="K118" s="633"/>
      <c r="L118" s="505"/>
      <c r="M118" s="633"/>
      <c r="N118" s="505"/>
      <c r="O118" s="505"/>
    </row>
    <row r="119" spans="3:15">
      <c r="C119" s="495">
        <f>IF(D94="","-",+C118+1)</f>
        <v>2032</v>
      </c>
      <c r="D119" s="459">
        <f t="shared" si="1"/>
        <v>693211.0625</v>
      </c>
      <c r="E119" s="502">
        <f t="shared" si="5"/>
        <v>23236.125</v>
      </c>
      <c r="F119" s="459">
        <f t="shared" si="0"/>
        <v>669974.9375</v>
      </c>
      <c r="G119" s="946">
        <f t="shared" si="2"/>
        <v>93279.844578974502</v>
      </c>
      <c r="H119" s="949">
        <f t="shared" si="3"/>
        <v>93279.844578974502</v>
      </c>
      <c r="I119" s="499">
        <f t="shared" si="4"/>
        <v>0</v>
      </c>
      <c r="J119" s="499"/>
      <c r="K119" s="633"/>
      <c r="L119" s="505"/>
      <c r="M119" s="633"/>
      <c r="N119" s="505"/>
      <c r="O119" s="505"/>
    </row>
    <row r="120" spans="3:15">
      <c r="C120" s="495">
        <f>IF(D94="","-",+C119+1)</f>
        <v>2033</v>
      </c>
      <c r="D120" s="459">
        <f t="shared" si="1"/>
        <v>669974.9375</v>
      </c>
      <c r="E120" s="502">
        <f t="shared" si="5"/>
        <v>23236.125</v>
      </c>
      <c r="F120" s="459">
        <f t="shared" si="0"/>
        <v>646738.8125</v>
      </c>
      <c r="G120" s="946">
        <f t="shared" si="2"/>
        <v>90891.990502418557</v>
      </c>
      <c r="H120" s="949">
        <f t="shared" si="3"/>
        <v>90891.990502418557</v>
      </c>
      <c r="I120" s="499">
        <f t="shared" si="4"/>
        <v>0</v>
      </c>
      <c r="J120" s="499"/>
      <c r="K120" s="633"/>
      <c r="L120" s="505"/>
      <c r="M120" s="633"/>
      <c r="N120" s="505"/>
      <c r="O120" s="505"/>
    </row>
    <row r="121" spans="3:15">
      <c r="C121" s="495">
        <f>IF(D94="","-",+C120+1)</f>
        <v>2034</v>
      </c>
      <c r="D121" s="459">
        <f t="shared" si="1"/>
        <v>646738.8125</v>
      </c>
      <c r="E121" s="502">
        <f t="shared" si="5"/>
        <v>23236.125</v>
      </c>
      <c r="F121" s="459">
        <f t="shared" si="0"/>
        <v>623502.6875</v>
      </c>
      <c r="G121" s="946">
        <f t="shared" si="2"/>
        <v>88504.136425862613</v>
      </c>
      <c r="H121" s="949">
        <f t="shared" si="3"/>
        <v>88504.136425862613</v>
      </c>
      <c r="I121" s="499">
        <f t="shared" si="4"/>
        <v>0</v>
      </c>
      <c r="J121" s="499"/>
      <c r="K121" s="633"/>
      <c r="L121" s="505"/>
      <c r="M121" s="633"/>
      <c r="N121" s="505"/>
      <c r="O121" s="505"/>
    </row>
    <row r="122" spans="3:15">
      <c r="C122" s="495">
        <f>IF(D94="","-",+C121+1)</f>
        <v>2035</v>
      </c>
      <c r="D122" s="459">
        <f t="shared" si="1"/>
        <v>623502.6875</v>
      </c>
      <c r="E122" s="502">
        <f t="shared" si="5"/>
        <v>23236.125</v>
      </c>
      <c r="F122" s="459">
        <f t="shared" si="0"/>
        <v>600266.5625</v>
      </c>
      <c r="G122" s="946">
        <f t="shared" si="2"/>
        <v>86116.282349306653</v>
      </c>
      <c r="H122" s="949">
        <f t="shared" si="3"/>
        <v>86116.282349306653</v>
      </c>
      <c r="I122" s="499">
        <f t="shared" si="4"/>
        <v>0</v>
      </c>
      <c r="J122" s="499"/>
      <c r="K122" s="633"/>
      <c r="L122" s="505"/>
      <c r="M122" s="633"/>
      <c r="N122" s="505"/>
      <c r="O122" s="505"/>
    </row>
    <row r="123" spans="3:15">
      <c r="C123" s="495">
        <f>IF(D94="","-",+C122+1)</f>
        <v>2036</v>
      </c>
      <c r="D123" s="459">
        <f t="shared" si="1"/>
        <v>600266.5625</v>
      </c>
      <c r="E123" s="502">
        <f t="shared" si="5"/>
        <v>23236.125</v>
      </c>
      <c r="F123" s="459">
        <f t="shared" si="0"/>
        <v>577030.4375</v>
      </c>
      <c r="G123" s="946">
        <f t="shared" si="2"/>
        <v>83728.428272750709</v>
      </c>
      <c r="H123" s="949">
        <f t="shared" si="3"/>
        <v>83728.428272750709</v>
      </c>
      <c r="I123" s="499">
        <f t="shared" si="4"/>
        <v>0</v>
      </c>
      <c r="J123" s="499"/>
      <c r="K123" s="633"/>
      <c r="L123" s="505"/>
      <c r="M123" s="633"/>
      <c r="N123" s="505"/>
      <c r="O123" s="505"/>
    </row>
    <row r="124" spans="3:15">
      <c r="C124" s="495">
        <f>IF(D94="","-",+C123+1)</f>
        <v>2037</v>
      </c>
      <c r="D124" s="459">
        <f t="shared" si="1"/>
        <v>577030.4375</v>
      </c>
      <c r="E124" s="502">
        <f t="shared" si="5"/>
        <v>23236.125</v>
      </c>
      <c r="F124" s="459">
        <f t="shared" si="0"/>
        <v>553794.3125</v>
      </c>
      <c r="G124" s="946">
        <f t="shared" si="2"/>
        <v>81340.574196194764</v>
      </c>
      <c r="H124" s="949">
        <f t="shared" si="3"/>
        <v>81340.574196194764</v>
      </c>
      <c r="I124" s="499">
        <f t="shared" si="4"/>
        <v>0</v>
      </c>
      <c r="J124" s="499"/>
      <c r="K124" s="633"/>
      <c r="L124" s="505"/>
      <c r="M124" s="633"/>
      <c r="N124" s="505"/>
      <c r="O124" s="505"/>
    </row>
    <row r="125" spans="3:15">
      <c r="C125" s="495">
        <f>IF(D94="","-",+C124+1)</f>
        <v>2038</v>
      </c>
      <c r="D125" s="459">
        <f t="shared" si="1"/>
        <v>553794.3125</v>
      </c>
      <c r="E125" s="502">
        <f t="shared" si="5"/>
        <v>23236.125</v>
      </c>
      <c r="F125" s="459">
        <f t="shared" si="0"/>
        <v>530558.1875</v>
      </c>
      <c r="G125" s="946">
        <f t="shared" si="2"/>
        <v>78952.720119638805</v>
      </c>
      <c r="H125" s="949">
        <f t="shared" si="3"/>
        <v>78952.720119638805</v>
      </c>
      <c r="I125" s="499">
        <f t="shared" si="4"/>
        <v>0</v>
      </c>
      <c r="J125" s="499"/>
      <c r="K125" s="633"/>
      <c r="L125" s="505"/>
      <c r="M125" s="633"/>
      <c r="N125" s="505"/>
      <c r="O125" s="505"/>
    </row>
    <row r="126" spans="3:15">
      <c r="C126" s="495">
        <f>IF(D94="","-",+C125+1)</f>
        <v>2039</v>
      </c>
      <c r="D126" s="459">
        <f t="shared" si="1"/>
        <v>530558.1875</v>
      </c>
      <c r="E126" s="502">
        <f t="shared" si="5"/>
        <v>23236.125</v>
      </c>
      <c r="F126" s="459">
        <f t="shared" si="0"/>
        <v>507322.0625</v>
      </c>
      <c r="G126" s="946">
        <f t="shared" si="2"/>
        <v>76564.86604308286</v>
      </c>
      <c r="H126" s="949">
        <f t="shared" si="3"/>
        <v>76564.86604308286</v>
      </c>
      <c r="I126" s="499">
        <f t="shared" si="4"/>
        <v>0</v>
      </c>
      <c r="J126" s="499"/>
      <c r="K126" s="633"/>
      <c r="L126" s="505"/>
      <c r="M126" s="633"/>
      <c r="N126" s="505"/>
      <c r="O126" s="505"/>
    </row>
    <row r="127" spans="3:15">
      <c r="C127" s="495">
        <f>IF(D94="","-",+C126+1)</f>
        <v>2040</v>
      </c>
      <c r="D127" s="459">
        <f t="shared" si="1"/>
        <v>507322.0625</v>
      </c>
      <c r="E127" s="502">
        <f t="shared" si="5"/>
        <v>23236.125</v>
      </c>
      <c r="F127" s="459">
        <f t="shared" si="0"/>
        <v>484085.9375</v>
      </c>
      <c r="G127" s="946">
        <f t="shared" si="2"/>
        <v>74177.011966526916</v>
      </c>
      <c r="H127" s="949">
        <f t="shared" si="3"/>
        <v>74177.011966526916</v>
      </c>
      <c r="I127" s="499">
        <f t="shared" si="4"/>
        <v>0</v>
      </c>
      <c r="J127" s="499"/>
      <c r="K127" s="633"/>
      <c r="L127" s="505"/>
      <c r="M127" s="633"/>
      <c r="N127" s="505"/>
      <c r="O127" s="505"/>
    </row>
    <row r="128" spans="3:15">
      <c r="C128" s="495">
        <f>IF(D94="","-",+C127+1)</f>
        <v>2041</v>
      </c>
      <c r="D128" s="459">
        <f t="shared" si="1"/>
        <v>484085.9375</v>
      </c>
      <c r="E128" s="502">
        <f t="shared" si="5"/>
        <v>23236.125</v>
      </c>
      <c r="F128" s="459">
        <f t="shared" si="0"/>
        <v>460849.8125</v>
      </c>
      <c r="G128" s="947">
        <f t="shared" si="2"/>
        <v>71789.157889970957</v>
      </c>
      <c r="H128" s="949">
        <f t="shared" si="3"/>
        <v>71789.157889970957</v>
      </c>
      <c r="I128" s="499">
        <f t="shared" si="4"/>
        <v>0</v>
      </c>
      <c r="J128" s="499"/>
      <c r="K128" s="633"/>
      <c r="L128" s="505"/>
      <c r="M128" s="633"/>
      <c r="N128" s="505"/>
      <c r="O128" s="505"/>
    </row>
    <row r="129" spans="3:15">
      <c r="C129" s="495">
        <f>IF(D94="","-",+C128+1)</f>
        <v>2042</v>
      </c>
      <c r="D129" s="459">
        <f t="shared" si="1"/>
        <v>460849.8125</v>
      </c>
      <c r="E129" s="502">
        <f t="shared" si="5"/>
        <v>23236.125</v>
      </c>
      <c r="F129" s="459">
        <f t="shared" si="0"/>
        <v>437613.6875</v>
      </c>
      <c r="G129" s="946">
        <f t="shared" si="2"/>
        <v>69401.303813415012</v>
      </c>
      <c r="H129" s="949">
        <f t="shared" si="3"/>
        <v>69401.303813415012</v>
      </c>
      <c r="I129" s="499">
        <f t="shared" si="4"/>
        <v>0</v>
      </c>
      <c r="J129" s="499"/>
      <c r="K129" s="633"/>
      <c r="L129" s="505"/>
      <c r="M129" s="633"/>
      <c r="N129" s="505"/>
      <c r="O129" s="505"/>
    </row>
    <row r="130" spans="3:15">
      <c r="C130" s="495">
        <f>IF(D94="","-",+C129+1)</f>
        <v>2043</v>
      </c>
      <c r="D130" s="459">
        <f t="shared" si="1"/>
        <v>437613.6875</v>
      </c>
      <c r="E130" s="502">
        <f t="shared" si="5"/>
        <v>23236.125</v>
      </c>
      <c r="F130" s="459">
        <f t="shared" si="0"/>
        <v>414377.5625</v>
      </c>
      <c r="G130" s="946">
        <f t="shared" si="2"/>
        <v>67013.449736859067</v>
      </c>
      <c r="H130" s="949">
        <f t="shared" si="3"/>
        <v>67013.449736859067</v>
      </c>
      <c r="I130" s="499">
        <f t="shared" si="4"/>
        <v>0</v>
      </c>
      <c r="J130" s="499"/>
      <c r="K130" s="633"/>
      <c r="L130" s="505"/>
      <c r="M130" s="633"/>
      <c r="N130" s="505"/>
      <c r="O130" s="505"/>
    </row>
    <row r="131" spans="3:15">
      <c r="C131" s="495">
        <f>IF(D94="","-",+C130+1)</f>
        <v>2044</v>
      </c>
      <c r="D131" s="459">
        <f t="shared" si="1"/>
        <v>414377.5625</v>
      </c>
      <c r="E131" s="502">
        <f t="shared" si="5"/>
        <v>23236.125</v>
      </c>
      <c r="F131" s="459">
        <f t="shared" si="0"/>
        <v>391141.4375</v>
      </c>
      <c r="G131" s="946">
        <f t="shared" si="2"/>
        <v>64625.595660303115</v>
      </c>
      <c r="H131" s="949">
        <f t="shared" si="3"/>
        <v>64625.595660303115</v>
      </c>
      <c r="I131" s="499">
        <f t="shared" si="4"/>
        <v>0</v>
      </c>
      <c r="J131" s="499"/>
      <c r="K131" s="633"/>
      <c r="L131" s="505"/>
      <c r="M131" s="633"/>
      <c r="N131" s="505"/>
      <c r="O131" s="505"/>
    </row>
    <row r="132" spans="3:15">
      <c r="C132" s="495">
        <f>IF(D94="","-",+C131+1)</f>
        <v>2045</v>
      </c>
      <c r="D132" s="459">
        <f t="shared" si="1"/>
        <v>391141.4375</v>
      </c>
      <c r="E132" s="502">
        <f t="shared" si="5"/>
        <v>23236.125</v>
      </c>
      <c r="F132" s="459">
        <f t="shared" si="0"/>
        <v>367905.3125</v>
      </c>
      <c r="G132" s="946">
        <f t="shared" si="2"/>
        <v>62237.741583747164</v>
      </c>
      <c r="H132" s="949">
        <f t="shared" si="3"/>
        <v>62237.741583747164</v>
      </c>
      <c r="I132" s="499">
        <f t="shared" si="4"/>
        <v>0</v>
      </c>
      <c r="J132" s="499"/>
      <c r="K132" s="633"/>
      <c r="L132" s="505"/>
      <c r="M132" s="633"/>
      <c r="N132" s="505"/>
      <c r="O132" s="505"/>
    </row>
    <row r="133" spans="3:15">
      <c r="C133" s="495">
        <f>IF(D94="","-",+C132+1)</f>
        <v>2046</v>
      </c>
      <c r="D133" s="459">
        <f t="shared" si="1"/>
        <v>367905.3125</v>
      </c>
      <c r="E133" s="502">
        <f t="shared" si="5"/>
        <v>23236.125</v>
      </c>
      <c r="F133" s="459">
        <f t="shared" si="0"/>
        <v>344669.1875</v>
      </c>
      <c r="G133" s="946">
        <f t="shared" si="2"/>
        <v>59849.887507191219</v>
      </c>
      <c r="H133" s="949">
        <f t="shared" si="3"/>
        <v>59849.887507191219</v>
      </c>
      <c r="I133" s="499">
        <f t="shared" si="4"/>
        <v>0</v>
      </c>
      <c r="J133" s="499"/>
      <c r="K133" s="633"/>
      <c r="L133" s="505"/>
      <c r="M133" s="633"/>
      <c r="N133" s="505"/>
      <c r="O133" s="505"/>
    </row>
    <row r="134" spans="3:15">
      <c r="C134" s="495">
        <f>IF(D94="","-",+C133+1)</f>
        <v>2047</v>
      </c>
      <c r="D134" s="459">
        <f t="shared" si="1"/>
        <v>344669.1875</v>
      </c>
      <c r="E134" s="502">
        <f t="shared" si="5"/>
        <v>23236.125</v>
      </c>
      <c r="F134" s="459">
        <f t="shared" si="0"/>
        <v>321433.0625</v>
      </c>
      <c r="G134" s="946">
        <f t="shared" si="2"/>
        <v>57462.033430635267</v>
      </c>
      <c r="H134" s="949">
        <f t="shared" si="3"/>
        <v>57462.033430635267</v>
      </c>
      <c r="I134" s="499">
        <f t="shared" si="4"/>
        <v>0</v>
      </c>
      <c r="J134" s="499"/>
      <c r="K134" s="633"/>
      <c r="L134" s="505"/>
      <c r="M134" s="633"/>
      <c r="N134" s="505"/>
      <c r="O134" s="505"/>
    </row>
    <row r="135" spans="3:15">
      <c r="C135" s="495">
        <f>IF(D94="","-",+C134+1)</f>
        <v>2048</v>
      </c>
      <c r="D135" s="459">
        <f t="shared" si="1"/>
        <v>321433.0625</v>
      </c>
      <c r="E135" s="502">
        <f t="shared" si="5"/>
        <v>23236.125</v>
      </c>
      <c r="F135" s="459">
        <f t="shared" si="0"/>
        <v>298196.9375</v>
      </c>
      <c r="G135" s="946">
        <f t="shared" si="2"/>
        <v>55074.179354079315</v>
      </c>
      <c r="H135" s="949">
        <f t="shared" si="3"/>
        <v>55074.179354079315</v>
      </c>
      <c r="I135" s="499">
        <f t="shared" si="4"/>
        <v>0</v>
      </c>
      <c r="J135" s="499"/>
      <c r="K135" s="633"/>
      <c r="L135" s="505"/>
      <c r="M135" s="633"/>
      <c r="N135" s="505"/>
      <c r="O135" s="505"/>
    </row>
    <row r="136" spans="3:15">
      <c r="C136" s="495">
        <f>IF(D94="","-",+C135+1)</f>
        <v>2049</v>
      </c>
      <c r="D136" s="459">
        <f t="shared" si="1"/>
        <v>298196.9375</v>
      </c>
      <c r="E136" s="502">
        <f t="shared" si="5"/>
        <v>23236.125</v>
      </c>
      <c r="F136" s="459">
        <f t="shared" si="0"/>
        <v>274960.8125</v>
      </c>
      <c r="G136" s="946">
        <f t="shared" si="2"/>
        <v>52686.32527752337</v>
      </c>
      <c r="H136" s="949">
        <f t="shared" si="3"/>
        <v>52686.32527752337</v>
      </c>
      <c r="I136" s="499">
        <f t="shared" si="4"/>
        <v>0</v>
      </c>
      <c r="J136" s="499"/>
      <c r="K136" s="633"/>
      <c r="L136" s="505"/>
      <c r="M136" s="633"/>
      <c r="N136" s="505"/>
      <c r="O136" s="505"/>
    </row>
    <row r="137" spans="3:15">
      <c r="C137" s="495">
        <f>IF(D94="","-",+C136+1)</f>
        <v>2050</v>
      </c>
      <c r="D137" s="459">
        <f t="shared" si="1"/>
        <v>274960.8125</v>
      </c>
      <c r="E137" s="502">
        <f t="shared" si="5"/>
        <v>23236.125</v>
      </c>
      <c r="F137" s="459">
        <f t="shared" si="0"/>
        <v>251724.6875</v>
      </c>
      <c r="G137" s="946">
        <f t="shared" si="2"/>
        <v>50298.471200967426</v>
      </c>
      <c r="H137" s="949">
        <f t="shared" si="3"/>
        <v>50298.471200967426</v>
      </c>
      <c r="I137" s="499">
        <f t="shared" si="4"/>
        <v>0</v>
      </c>
      <c r="J137" s="499"/>
      <c r="K137" s="633"/>
      <c r="L137" s="505"/>
      <c r="M137" s="633"/>
      <c r="N137" s="505"/>
      <c r="O137" s="505"/>
    </row>
    <row r="138" spans="3:15">
      <c r="C138" s="495">
        <f>IF(D94="","-",+C137+1)</f>
        <v>2051</v>
      </c>
      <c r="D138" s="459">
        <f t="shared" si="1"/>
        <v>251724.6875</v>
      </c>
      <c r="E138" s="502">
        <f t="shared" si="5"/>
        <v>23236.125</v>
      </c>
      <c r="F138" s="459">
        <f t="shared" si="0"/>
        <v>228488.5625</v>
      </c>
      <c r="G138" s="946">
        <f t="shared" si="2"/>
        <v>47910.617124411474</v>
      </c>
      <c r="H138" s="949">
        <f t="shared" si="3"/>
        <v>47910.617124411474</v>
      </c>
      <c r="I138" s="499">
        <f t="shared" si="4"/>
        <v>0</v>
      </c>
      <c r="J138" s="499"/>
      <c r="K138" s="633"/>
      <c r="L138" s="505"/>
      <c r="M138" s="633"/>
      <c r="N138" s="505"/>
      <c r="O138" s="505"/>
    </row>
    <row r="139" spans="3:15">
      <c r="C139" s="495">
        <f>IF(D94="","-",+C138+1)</f>
        <v>2052</v>
      </c>
      <c r="D139" s="459">
        <f t="shared" si="1"/>
        <v>228488.5625</v>
      </c>
      <c r="E139" s="502">
        <f t="shared" si="5"/>
        <v>23236.125</v>
      </c>
      <c r="F139" s="459">
        <f t="shared" si="0"/>
        <v>205252.4375</v>
      </c>
      <c r="G139" s="946">
        <f t="shared" si="2"/>
        <v>45522.763047855522</v>
      </c>
      <c r="H139" s="949">
        <f t="shared" si="3"/>
        <v>45522.763047855522</v>
      </c>
      <c r="I139" s="499">
        <f t="shared" si="4"/>
        <v>0</v>
      </c>
      <c r="J139" s="499"/>
      <c r="K139" s="633"/>
      <c r="L139" s="505"/>
      <c r="M139" s="633"/>
      <c r="N139" s="505"/>
      <c r="O139" s="505"/>
    </row>
    <row r="140" spans="3:15">
      <c r="C140" s="495">
        <f>IF(D94="","-",+C139+1)</f>
        <v>2053</v>
      </c>
      <c r="D140" s="459">
        <f t="shared" si="1"/>
        <v>205252.4375</v>
      </c>
      <c r="E140" s="502">
        <f t="shared" si="5"/>
        <v>23236.125</v>
      </c>
      <c r="F140" s="459">
        <f t="shared" si="0"/>
        <v>182016.3125</v>
      </c>
      <c r="G140" s="946">
        <f t="shared" si="2"/>
        <v>43134.908971299577</v>
      </c>
      <c r="H140" s="949">
        <f t="shared" si="3"/>
        <v>43134.908971299577</v>
      </c>
      <c r="I140" s="499">
        <f t="shared" si="4"/>
        <v>0</v>
      </c>
      <c r="J140" s="499"/>
      <c r="K140" s="633"/>
      <c r="L140" s="505"/>
      <c r="M140" s="633"/>
      <c r="N140" s="505"/>
      <c r="O140" s="505"/>
    </row>
    <row r="141" spans="3:15">
      <c r="C141" s="495">
        <f>IF(D94="","-",+C140+1)</f>
        <v>2054</v>
      </c>
      <c r="D141" s="459">
        <f t="shared" si="1"/>
        <v>182016.3125</v>
      </c>
      <c r="E141" s="502">
        <f t="shared" si="5"/>
        <v>23236.125</v>
      </c>
      <c r="F141" s="459">
        <f t="shared" si="0"/>
        <v>158780.1875</v>
      </c>
      <c r="G141" s="946">
        <f t="shared" si="2"/>
        <v>40747.054894743625</v>
      </c>
      <c r="H141" s="949">
        <f t="shared" si="3"/>
        <v>40747.054894743625</v>
      </c>
      <c r="I141" s="499">
        <f t="shared" si="4"/>
        <v>0</v>
      </c>
      <c r="J141" s="499"/>
      <c r="K141" s="633"/>
      <c r="L141" s="505"/>
      <c r="M141" s="633"/>
      <c r="N141" s="505"/>
      <c r="O141" s="505"/>
    </row>
    <row r="142" spans="3:15">
      <c r="C142" s="495">
        <f>IF(D94="","-",+C141+1)</f>
        <v>2055</v>
      </c>
      <c r="D142" s="459">
        <f t="shared" si="1"/>
        <v>158780.1875</v>
      </c>
      <c r="E142" s="502">
        <f t="shared" si="5"/>
        <v>23236.125</v>
      </c>
      <c r="F142" s="459">
        <f t="shared" si="0"/>
        <v>135544.0625</v>
      </c>
      <c r="G142" s="946">
        <f t="shared" si="2"/>
        <v>38359.200818187674</v>
      </c>
      <c r="H142" s="949">
        <f t="shared" si="3"/>
        <v>38359.200818187674</v>
      </c>
      <c r="I142" s="499">
        <f t="shared" si="4"/>
        <v>0</v>
      </c>
      <c r="J142" s="499"/>
      <c r="K142" s="633"/>
      <c r="L142" s="505"/>
      <c r="M142" s="633"/>
      <c r="N142" s="505"/>
      <c r="O142" s="505"/>
    </row>
    <row r="143" spans="3:15">
      <c r="C143" s="495">
        <f>IF(D94="","-",+C142+1)</f>
        <v>2056</v>
      </c>
      <c r="D143" s="459">
        <f t="shared" si="1"/>
        <v>135544.0625</v>
      </c>
      <c r="E143" s="502">
        <f t="shared" si="5"/>
        <v>23236.125</v>
      </c>
      <c r="F143" s="459">
        <f t="shared" si="0"/>
        <v>112307.9375</v>
      </c>
      <c r="G143" s="946">
        <f t="shared" si="2"/>
        <v>35971.346741631729</v>
      </c>
      <c r="H143" s="949">
        <f t="shared" si="3"/>
        <v>35971.346741631729</v>
      </c>
      <c r="I143" s="499">
        <f t="shared" si="4"/>
        <v>0</v>
      </c>
      <c r="J143" s="499"/>
      <c r="K143" s="633"/>
      <c r="L143" s="505"/>
      <c r="M143" s="633"/>
      <c r="N143" s="505"/>
      <c r="O143" s="505"/>
    </row>
    <row r="144" spans="3:15">
      <c r="C144" s="495">
        <f>IF(D94="","-",+C143+1)</f>
        <v>2057</v>
      </c>
      <c r="D144" s="459">
        <f t="shared" si="1"/>
        <v>112307.9375</v>
      </c>
      <c r="E144" s="502">
        <f t="shared" si="5"/>
        <v>23236.125</v>
      </c>
      <c r="F144" s="459">
        <f t="shared" si="0"/>
        <v>89071.8125</v>
      </c>
      <c r="G144" s="946">
        <f t="shared" si="2"/>
        <v>33583.492665075777</v>
      </c>
      <c r="H144" s="949">
        <f t="shared" si="3"/>
        <v>33583.492665075777</v>
      </c>
      <c r="I144" s="499">
        <f t="shared" si="4"/>
        <v>0</v>
      </c>
      <c r="J144" s="499"/>
      <c r="K144" s="633"/>
      <c r="L144" s="505"/>
      <c r="M144" s="633"/>
      <c r="N144" s="505"/>
      <c r="O144" s="505"/>
    </row>
    <row r="145" spans="3:15">
      <c r="C145" s="495">
        <f>IF(D94="","-",+C144+1)</f>
        <v>2058</v>
      </c>
      <c r="D145" s="459">
        <f t="shared" si="1"/>
        <v>89071.8125</v>
      </c>
      <c r="E145" s="502">
        <f t="shared" si="5"/>
        <v>23236.125</v>
      </c>
      <c r="F145" s="459">
        <f t="shared" si="0"/>
        <v>65835.6875</v>
      </c>
      <c r="G145" s="946">
        <f t="shared" si="2"/>
        <v>31195.638588519829</v>
      </c>
      <c r="H145" s="949">
        <f t="shared" si="3"/>
        <v>31195.638588519829</v>
      </c>
      <c r="I145" s="499">
        <f t="shared" si="4"/>
        <v>0</v>
      </c>
      <c r="J145" s="499"/>
      <c r="K145" s="633"/>
      <c r="L145" s="505"/>
      <c r="M145" s="633"/>
      <c r="N145" s="505"/>
      <c r="O145" s="505"/>
    </row>
    <row r="146" spans="3:15">
      <c r="C146" s="495">
        <f>IF(D94="","-",+C145+1)</f>
        <v>2059</v>
      </c>
      <c r="D146" s="459">
        <f t="shared" si="1"/>
        <v>65835.6875</v>
      </c>
      <c r="E146" s="502">
        <f t="shared" si="5"/>
        <v>23236.125</v>
      </c>
      <c r="F146" s="459">
        <f t="shared" si="0"/>
        <v>42599.5625</v>
      </c>
      <c r="G146" s="946">
        <f t="shared" si="2"/>
        <v>28807.784511963881</v>
      </c>
      <c r="H146" s="949">
        <f t="shared" si="3"/>
        <v>28807.784511963881</v>
      </c>
      <c r="I146" s="499">
        <f t="shared" si="4"/>
        <v>0</v>
      </c>
      <c r="J146" s="499"/>
      <c r="K146" s="633"/>
      <c r="L146" s="505"/>
      <c r="M146" s="633"/>
      <c r="N146" s="505"/>
      <c r="O146" s="505"/>
    </row>
    <row r="147" spans="3:15">
      <c r="C147" s="495">
        <f>IF(D94="","-",+C146+1)</f>
        <v>2060</v>
      </c>
      <c r="D147" s="459">
        <f t="shared" si="1"/>
        <v>42599.5625</v>
      </c>
      <c r="E147" s="502">
        <f t="shared" si="5"/>
        <v>23236.125</v>
      </c>
      <c r="F147" s="459">
        <f t="shared" si="0"/>
        <v>19363.4375</v>
      </c>
      <c r="G147" s="946">
        <f t="shared" si="2"/>
        <v>26419.930435407932</v>
      </c>
      <c r="H147" s="949">
        <f t="shared" si="3"/>
        <v>26419.930435407932</v>
      </c>
      <c r="I147" s="499">
        <f t="shared" si="4"/>
        <v>0</v>
      </c>
      <c r="J147" s="499"/>
      <c r="K147" s="633"/>
      <c r="L147" s="505"/>
      <c r="M147" s="633"/>
      <c r="N147" s="505"/>
      <c r="O147" s="505"/>
    </row>
    <row r="148" spans="3:15">
      <c r="C148" s="495">
        <f>IF(D94="","-",+C147+1)</f>
        <v>2061</v>
      </c>
      <c r="D148" s="459">
        <f t="shared" si="1"/>
        <v>19363.4375</v>
      </c>
      <c r="E148" s="502">
        <f t="shared" si="5"/>
        <v>19363.4375</v>
      </c>
      <c r="F148" s="459">
        <f t="shared" si="0"/>
        <v>0</v>
      </c>
      <c r="G148" s="946">
        <f t="shared" si="2"/>
        <v>20358.376698564978</v>
      </c>
      <c r="H148" s="949">
        <f t="shared" si="3"/>
        <v>20358.376698564978</v>
      </c>
      <c r="I148" s="499">
        <f t="shared" si="4"/>
        <v>0</v>
      </c>
      <c r="J148" s="499"/>
      <c r="K148" s="633"/>
      <c r="L148" s="505"/>
      <c r="M148" s="633"/>
      <c r="N148" s="505"/>
      <c r="O148" s="505"/>
    </row>
    <row r="149" spans="3:15">
      <c r="C149" s="495">
        <f>IF(D94="","-",+C148+1)</f>
        <v>2062</v>
      </c>
      <c r="D149" s="459">
        <f t="shared" si="1"/>
        <v>0</v>
      </c>
      <c r="E149" s="502">
        <f t="shared" si="5"/>
        <v>0</v>
      </c>
      <c r="F149" s="459">
        <f t="shared" si="0"/>
        <v>0</v>
      </c>
      <c r="G149" s="946">
        <f t="shared" si="2"/>
        <v>0</v>
      </c>
      <c r="H149" s="949">
        <f t="shared" si="3"/>
        <v>0</v>
      </c>
      <c r="I149" s="499">
        <f t="shared" si="4"/>
        <v>0</v>
      </c>
      <c r="J149" s="499"/>
      <c r="K149" s="633"/>
      <c r="L149" s="505"/>
      <c r="M149" s="633"/>
      <c r="N149" s="505"/>
      <c r="O149" s="505"/>
    </row>
    <row r="150" spans="3:15">
      <c r="C150" s="495">
        <f>IF(D94="","-",+C149+1)</f>
        <v>2063</v>
      </c>
      <c r="D150" s="459">
        <f t="shared" si="1"/>
        <v>0</v>
      </c>
      <c r="E150" s="502">
        <f t="shared" si="5"/>
        <v>0</v>
      </c>
      <c r="F150" s="459">
        <f t="shared" si="0"/>
        <v>0</v>
      </c>
      <c r="G150" s="946">
        <f t="shared" si="2"/>
        <v>0</v>
      </c>
      <c r="H150" s="949">
        <f t="shared" si="3"/>
        <v>0</v>
      </c>
      <c r="I150" s="499">
        <f t="shared" si="4"/>
        <v>0</v>
      </c>
      <c r="J150" s="499"/>
      <c r="K150" s="633"/>
      <c r="L150" s="505"/>
      <c r="M150" s="633"/>
      <c r="N150" s="505"/>
      <c r="O150" s="505"/>
    </row>
    <row r="151" spans="3:15">
      <c r="C151" s="495">
        <f>IF(D94="","-",+C150+1)</f>
        <v>2064</v>
      </c>
      <c r="D151" s="459">
        <f t="shared" si="1"/>
        <v>0</v>
      </c>
      <c r="E151" s="502">
        <f t="shared" si="5"/>
        <v>0</v>
      </c>
      <c r="F151" s="459">
        <f t="shared" si="0"/>
        <v>0</v>
      </c>
      <c r="G151" s="946">
        <f t="shared" si="2"/>
        <v>0</v>
      </c>
      <c r="H151" s="949">
        <f t="shared" si="3"/>
        <v>0</v>
      </c>
      <c r="I151" s="499">
        <f t="shared" si="4"/>
        <v>0</v>
      </c>
      <c r="J151" s="499"/>
      <c r="K151" s="633"/>
      <c r="L151" s="505"/>
      <c r="M151" s="633"/>
      <c r="N151" s="505"/>
      <c r="O151" s="505"/>
    </row>
    <row r="152" spans="3:15">
      <c r="C152" s="495">
        <f>IF(D94="","-",+C151+1)</f>
        <v>2065</v>
      </c>
      <c r="D152" s="459">
        <f t="shared" si="1"/>
        <v>0</v>
      </c>
      <c r="E152" s="502">
        <f t="shared" si="5"/>
        <v>0</v>
      </c>
      <c r="F152" s="459">
        <f t="shared" si="0"/>
        <v>0</v>
      </c>
      <c r="G152" s="946">
        <f t="shared" si="2"/>
        <v>0</v>
      </c>
      <c r="H152" s="949">
        <f t="shared" si="3"/>
        <v>0</v>
      </c>
      <c r="I152" s="499">
        <f t="shared" si="4"/>
        <v>0</v>
      </c>
      <c r="J152" s="499"/>
      <c r="K152" s="633"/>
      <c r="L152" s="505"/>
      <c r="M152" s="633"/>
      <c r="N152" s="505"/>
      <c r="O152" s="505"/>
    </row>
    <row r="153" spans="3:15">
      <c r="C153" s="495">
        <f>IF(D94="","-",+C152+1)</f>
        <v>2066</v>
      </c>
      <c r="D153" s="459">
        <f t="shared" si="1"/>
        <v>0</v>
      </c>
      <c r="E153" s="502">
        <f t="shared" si="5"/>
        <v>0</v>
      </c>
      <c r="F153" s="459">
        <f t="shared" si="0"/>
        <v>0</v>
      </c>
      <c r="G153" s="946">
        <f t="shared" si="2"/>
        <v>0</v>
      </c>
      <c r="H153" s="949">
        <f t="shared" si="3"/>
        <v>0</v>
      </c>
      <c r="I153" s="499">
        <f t="shared" si="4"/>
        <v>0</v>
      </c>
      <c r="J153" s="499"/>
      <c r="K153" s="633"/>
      <c r="L153" s="505"/>
      <c r="M153" s="633"/>
      <c r="N153" s="505"/>
      <c r="O153" s="505"/>
    </row>
    <row r="154" spans="3:15">
      <c r="C154" s="495">
        <f>IF(D94="","-",+C153+1)</f>
        <v>2067</v>
      </c>
      <c r="D154" s="459">
        <f t="shared" si="1"/>
        <v>0</v>
      </c>
      <c r="E154" s="502">
        <f t="shared" si="5"/>
        <v>0</v>
      </c>
      <c r="F154" s="459">
        <f t="shared" si="0"/>
        <v>0</v>
      </c>
      <c r="G154" s="946">
        <f t="shared" si="2"/>
        <v>0</v>
      </c>
      <c r="H154" s="949">
        <f t="shared" si="3"/>
        <v>0</v>
      </c>
      <c r="I154" s="499">
        <f t="shared" si="4"/>
        <v>0</v>
      </c>
      <c r="J154" s="499"/>
      <c r="K154" s="633"/>
      <c r="L154" s="505"/>
      <c r="M154" s="633"/>
      <c r="N154" s="505"/>
      <c r="O154" s="505"/>
    </row>
    <row r="155" spans="3:15">
      <c r="C155" s="495">
        <f>IF(D94="","-",+C154+1)</f>
        <v>2068</v>
      </c>
      <c r="D155" s="459">
        <f t="shared" si="1"/>
        <v>0</v>
      </c>
      <c r="E155" s="502">
        <f t="shared" si="5"/>
        <v>0</v>
      </c>
      <c r="F155" s="459">
        <f t="shared" si="0"/>
        <v>0</v>
      </c>
      <c r="G155" s="946">
        <f t="shared" si="2"/>
        <v>0</v>
      </c>
      <c r="H155" s="949">
        <f t="shared" si="3"/>
        <v>0</v>
      </c>
      <c r="I155" s="499">
        <f t="shared" si="4"/>
        <v>0</v>
      </c>
      <c r="J155" s="499"/>
      <c r="K155" s="633"/>
      <c r="L155" s="505"/>
      <c r="M155" s="633"/>
      <c r="N155" s="505"/>
      <c r="O155" s="505"/>
    </row>
    <row r="156" spans="3:15">
      <c r="C156" s="495">
        <f>IF(D94="","-",+C155+1)</f>
        <v>2069</v>
      </c>
      <c r="D156" s="459">
        <f t="shared" si="1"/>
        <v>0</v>
      </c>
      <c r="E156" s="502">
        <f t="shared" si="5"/>
        <v>0</v>
      </c>
      <c r="F156" s="459">
        <f t="shared" si="0"/>
        <v>0</v>
      </c>
      <c r="G156" s="946">
        <f t="shared" si="2"/>
        <v>0</v>
      </c>
      <c r="H156" s="949">
        <f t="shared" si="3"/>
        <v>0</v>
      </c>
      <c r="I156" s="499">
        <f t="shared" si="4"/>
        <v>0</v>
      </c>
      <c r="J156" s="499"/>
      <c r="K156" s="633"/>
      <c r="L156" s="505"/>
      <c r="M156" s="633"/>
      <c r="N156" s="505"/>
      <c r="O156" s="505"/>
    </row>
    <row r="157" spans="3:15">
      <c r="C157" s="495">
        <f>IF(D94="","-",+C156+1)</f>
        <v>2070</v>
      </c>
      <c r="D157" s="459">
        <f t="shared" si="1"/>
        <v>0</v>
      </c>
      <c r="E157" s="502">
        <f t="shared" si="5"/>
        <v>0</v>
      </c>
      <c r="F157" s="459">
        <f t="shared" si="0"/>
        <v>0</v>
      </c>
      <c r="G157" s="946">
        <f t="shared" si="2"/>
        <v>0</v>
      </c>
      <c r="H157" s="949">
        <f t="shared" si="3"/>
        <v>0</v>
      </c>
      <c r="I157" s="499">
        <f t="shared" si="4"/>
        <v>0</v>
      </c>
      <c r="J157" s="499"/>
      <c r="K157" s="633"/>
      <c r="L157" s="505"/>
      <c r="M157" s="633"/>
      <c r="N157" s="505"/>
      <c r="O157" s="505"/>
    </row>
    <row r="158" spans="3:15">
      <c r="C158" s="495">
        <f>IF(D94="","-",+C157+1)</f>
        <v>2071</v>
      </c>
      <c r="D158" s="459">
        <f t="shared" si="1"/>
        <v>0</v>
      </c>
      <c r="E158" s="502">
        <f t="shared" si="5"/>
        <v>0</v>
      </c>
      <c r="F158" s="459">
        <f t="shared" si="0"/>
        <v>0</v>
      </c>
      <c r="G158" s="946">
        <f t="shared" si="2"/>
        <v>0</v>
      </c>
      <c r="H158" s="949">
        <f t="shared" si="3"/>
        <v>0</v>
      </c>
      <c r="I158" s="499">
        <f t="shared" si="4"/>
        <v>0</v>
      </c>
      <c r="J158" s="499"/>
      <c r="K158" s="633"/>
      <c r="L158" s="505"/>
      <c r="M158" s="633"/>
      <c r="N158" s="505"/>
      <c r="O158" s="505"/>
    </row>
    <row r="159" spans="3:15" ht="13.5" thickBot="1">
      <c r="C159" s="506">
        <f>IF(D94="","-",+C158+1)</f>
        <v>2072</v>
      </c>
      <c r="D159" s="507">
        <f t="shared" si="1"/>
        <v>0</v>
      </c>
      <c r="E159" s="508">
        <f t="shared" si="5"/>
        <v>0</v>
      </c>
      <c r="F159" s="507">
        <f t="shared" si="0"/>
        <v>0</v>
      </c>
      <c r="G159" s="956">
        <f t="shared" si="2"/>
        <v>0</v>
      </c>
      <c r="H159" s="956">
        <f t="shared" si="3"/>
        <v>0</v>
      </c>
      <c r="I159" s="510">
        <f t="shared" si="4"/>
        <v>0</v>
      </c>
      <c r="J159" s="499"/>
      <c r="K159" s="634"/>
      <c r="L159" s="512"/>
      <c r="M159" s="634"/>
      <c r="N159" s="512"/>
      <c r="O159" s="512"/>
    </row>
    <row r="160" spans="3:15">
      <c r="C160" s="459" t="s">
        <v>288</v>
      </c>
      <c r="D160" s="926"/>
      <c r="E160" s="459"/>
      <c r="F160" s="926"/>
      <c r="G160" s="926">
        <f>SUM(G100:G159)</f>
        <v>3961656.0592546915</v>
      </c>
      <c r="H160" s="926">
        <f>SUM(H100:H159)</f>
        <v>3961656.0592546915</v>
      </c>
      <c r="I160" s="926">
        <f>SUM(I100:I159)</f>
        <v>0</v>
      </c>
      <c r="J160" s="926"/>
      <c r="K160" s="926"/>
      <c r="L160" s="926"/>
      <c r="M160" s="926"/>
      <c r="N160" s="926"/>
      <c r="O160" s="3"/>
    </row>
    <row r="161" spans="3:15">
      <c r="D161" s="76"/>
      <c r="E161" s="3"/>
      <c r="F161" s="3"/>
      <c r="G161" s="3"/>
      <c r="H161" s="925"/>
      <c r="I161" s="925"/>
      <c r="J161" s="926"/>
      <c r="K161" s="925"/>
      <c r="L161" s="925"/>
      <c r="M161" s="925"/>
      <c r="N161" s="925"/>
      <c r="O161" s="3"/>
    </row>
    <row r="162" spans="3:15">
      <c r="C162" s="3" t="s">
        <v>595</v>
      </c>
      <c r="D162" s="76"/>
      <c r="E162" s="3"/>
      <c r="F162" s="3"/>
      <c r="G162" s="3"/>
      <c r="H162" s="925"/>
      <c r="I162" s="925"/>
      <c r="J162" s="926"/>
      <c r="K162" s="925"/>
      <c r="L162" s="925"/>
      <c r="M162" s="925"/>
      <c r="N162" s="925"/>
      <c r="O162" s="3"/>
    </row>
    <row r="163" spans="3:15">
      <c r="C163" s="3"/>
      <c r="D163" s="76"/>
      <c r="E163" s="3"/>
      <c r="F163" s="3"/>
      <c r="G163" s="3"/>
      <c r="H163" s="925"/>
      <c r="I163" s="925"/>
      <c r="J163" s="926"/>
      <c r="K163" s="925"/>
      <c r="L163" s="925"/>
      <c r="M163" s="925"/>
      <c r="N163" s="925"/>
      <c r="O163" s="3"/>
    </row>
    <row r="164" spans="3:15">
      <c r="C164" s="469" t="s">
        <v>885</v>
      </c>
      <c r="D164" s="459"/>
      <c r="E164" s="459"/>
      <c r="F164" s="459"/>
      <c r="G164" s="964"/>
      <c r="H164" s="926"/>
      <c r="I164" s="461"/>
      <c r="J164" s="461"/>
      <c r="K164" s="461"/>
      <c r="L164" s="965"/>
      <c r="M164" s="461"/>
      <c r="N164" s="461"/>
      <c r="O164" s="3"/>
    </row>
    <row r="165" spans="3:15">
      <c r="C165" s="469" t="s">
        <v>475</v>
      </c>
      <c r="D165" s="459"/>
      <c r="E165" s="459"/>
      <c r="F165" s="459"/>
      <c r="G165" s="926"/>
      <c r="H165" s="926"/>
      <c r="I165" s="461"/>
      <c r="J165" s="461"/>
      <c r="K165" s="461"/>
      <c r="L165" s="461"/>
      <c r="M165" s="461"/>
      <c r="N165" s="461"/>
      <c r="O165" s="3"/>
    </row>
    <row r="166" spans="3:15">
      <c r="C166" s="460" t="s">
        <v>289</v>
      </c>
      <c r="D166" s="459"/>
      <c r="E166" s="459"/>
      <c r="F166" s="459"/>
      <c r="G166" s="926"/>
      <c r="H166" s="926"/>
      <c r="I166" s="461"/>
      <c r="J166" s="461"/>
      <c r="K166" s="461"/>
      <c r="L166" s="461"/>
      <c r="M166" s="461"/>
      <c r="N166" s="461"/>
      <c r="O166" s="3"/>
    </row>
    <row r="167" spans="3:15" ht="12.75" customHeight="1">
      <c r="C167" s="460"/>
      <c r="D167" s="459"/>
      <c r="E167" s="459"/>
      <c r="F167" s="459"/>
      <c r="G167" s="926"/>
      <c r="H167" s="926"/>
      <c r="I167" s="461"/>
      <c r="J167" s="461"/>
      <c r="K167" s="461"/>
      <c r="L167" s="461"/>
      <c r="M167" s="461"/>
      <c r="N167" s="461"/>
      <c r="O167" s="3"/>
    </row>
    <row r="168" spans="3:15">
      <c r="C168" s="1297" t="s">
        <v>459</v>
      </c>
      <c r="D168" s="1297"/>
      <c r="E168" s="1297"/>
      <c r="F168" s="1297"/>
      <c r="G168" s="1297"/>
      <c r="H168" s="1297"/>
      <c r="I168" s="1297"/>
      <c r="J168" s="1297"/>
      <c r="K168" s="1297"/>
      <c r="L168" s="1297"/>
      <c r="M168" s="1297"/>
      <c r="N168" s="1297"/>
      <c r="O168" s="1297"/>
    </row>
    <row r="169" spans="3:15">
      <c r="C169" s="1297"/>
      <c r="D169" s="1297"/>
      <c r="E169" s="1297"/>
      <c r="F169" s="1297"/>
      <c r="G169" s="1297"/>
      <c r="H169" s="1297"/>
      <c r="I169" s="1297"/>
      <c r="J169" s="1297"/>
      <c r="K169" s="1297"/>
      <c r="L169" s="1297"/>
      <c r="M169" s="1297"/>
      <c r="N169" s="1297"/>
      <c r="O169" s="1297"/>
    </row>
    <row r="170" spans="3:15">
      <c r="H170" s="957"/>
    </row>
  </sheetData>
  <mergeCells count="9">
    <mergeCell ref="D89:G89"/>
    <mergeCell ref="K93:O93"/>
    <mergeCell ref="C168:O169"/>
    <mergeCell ref="K22:O23"/>
    <mergeCell ref="A3:O3"/>
    <mergeCell ref="C11:H12"/>
    <mergeCell ref="A4:O4"/>
    <mergeCell ref="A5:O5"/>
    <mergeCell ref="A6:O6"/>
  </mergeCells>
  <phoneticPr fontId="0" type="noConversion"/>
  <conditionalFormatting sqref="C100:C159">
    <cfRule type="cellIs" dxfId="17" priority="20" stopIfTrue="1" operator="equal">
      <formula>$I$93</formula>
    </cfRule>
  </conditionalFormatting>
  <pageMargins left="0.26" right="1.28" top="1" bottom="0.5" header="0.75" footer="0.5"/>
  <pageSetup scale="41" fitToHeight="2" orientation="landscape" r:id="rId1"/>
  <headerFooter alignWithMargins="0">
    <oddHeader>&amp;R&amp;"Arial,Bold"Formula Rate 
&amp;A
Page &amp;P of &amp;N</oddHeader>
  </headerFooter>
  <rowBreaks count="1" manualBreakCount="1">
    <brk id="8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Q169"/>
  <sheetViews>
    <sheetView tabSelected="1" view="pageBreakPreview" topLeftCell="A79" zoomScale="85" zoomScaleNormal="100" zoomScaleSheetLayoutView="85" workbookViewId="0">
      <selection activeCell="D3" sqref="D3"/>
    </sheetView>
  </sheetViews>
  <sheetFormatPr defaultColWidth="8.85546875" defaultRowHeight="12.75"/>
  <cols>
    <col min="1" max="1" width="4.5703125" customWidth="1"/>
    <col min="2" max="2" width="6.5703125" customWidth="1"/>
    <col min="3" max="3" width="32.42578125" customWidth="1"/>
    <col min="4" max="4" width="17.5703125" style="1" customWidth="1"/>
    <col min="5" max="8" width="17.5703125" customWidth="1"/>
    <col min="9" max="9" width="17.5703125" style="400" customWidth="1"/>
    <col min="10" max="10" width="17.5703125" bestFit="1" customWidth="1"/>
    <col min="11" max="11" width="2.140625" customWidth="1"/>
    <col min="12" max="12" width="17.5703125" style="3" customWidth="1"/>
    <col min="13" max="13" width="31.85546875" style="3" customWidth="1"/>
    <col min="14" max="15" width="17.5703125" style="3" customWidth="1"/>
    <col min="16" max="16" width="16.5703125" style="3" customWidth="1"/>
    <col min="17" max="17" width="2.140625" style="3" customWidth="1"/>
  </cols>
  <sheetData>
    <row r="1" spans="1:17" ht="15.75">
      <c r="A1" s="651" t="s">
        <v>114</v>
      </c>
    </row>
    <row r="2" spans="1:17" ht="15.75">
      <c r="A2" s="651" t="s">
        <v>114</v>
      </c>
    </row>
    <row r="3" spans="1:17" ht="15">
      <c r="A3" s="1254" t="s">
        <v>387</v>
      </c>
      <c r="B3" s="1254"/>
      <c r="C3" s="1254"/>
      <c r="D3" s="1254"/>
      <c r="E3" s="1254"/>
      <c r="F3" s="1254"/>
      <c r="G3" s="1254"/>
      <c r="H3" s="1254"/>
      <c r="I3" s="1254"/>
      <c r="J3" s="1254"/>
      <c r="K3" s="1254"/>
      <c r="L3" s="1254"/>
      <c r="M3" s="1254"/>
      <c r="N3" s="1254"/>
      <c r="O3" s="1254"/>
      <c r="P3" s="1254"/>
    </row>
    <row r="4" spans="1:17" ht="15">
      <c r="A4" s="1255" t="str">
        <f>"Cost of Service Formula Rate Using "&amp;TCOS!L4&amp;" FF1 Balances"</f>
        <v>Cost of Service Formula Rate Using 2025 FF1 Balances</v>
      </c>
      <c r="B4" s="1255"/>
      <c r="C4" s="1255"/>
      <c r="D4" s="1255"/>
      <c r="E4" s="1255"/>
      <c r="F4" s="1255"/>
      <c r="G4" s="1255"/>
      <c r="H4" s="1255"/>
      <c r="I4" s="1255"/>
      <c r="J4" s="1255"/>
      <c r="K4" s="1255"/>
      <c r="L4" s="1255"/>
      <c r="M4" s="1255"/>
      <c r="N4" s="1255"/>
      <c r="O4" s="1255"/>
      <c r="P4" s="1255"/>
    </row>
    <row r="5" spans="1:17" ht="15">
      <c r="A5" s="1255" t="s">
        <v>468</v>
      </c>
      <c r="B5" s="1255"/>
      <c r="C5" s="1255"/>
      <c r="D5" s="1255"/>
      <c r="E5" s="1255"/>
      <c r="F5" s="1255"/>
      <c r="G5" s="1255"/>
      <c r="H5" s="1255"/>
      <c r="I5" s="1255"/>
      <c r="J5" s="1255"/>
      <c r="K5" s="1255"/>
      <c r="L5" s="1255"/>
      <c r="M5" s="1255"/>
      <c r="N5" s="1255"/>
      <c r="O5" s="1255"/>
      <c r="P5" s="1255"/>
    </row>
    <row r="6" spans="1:17" ht="15">
      <c r="A6" s="1263" t="str">
        <f>TCOS!F9</f>
        <v>WHEELING POWER COMPANY</v>
      </c>
      <c r="B6" s="1263"/>
      <c r="C6" s="1263"/>
      <c r="D6" s="1263"/>
      <c r="E6" s="1263"/>
      <c r="F6" s="1263"/>
      <c r="G6" s="1263"/>
      <c r="H6" s="1263"/>
      <c r="I6" s="1263"/>
      <c r="J6" s="1263"/>
      <c r="K6" s="1263"/>
      <c r="L6" s="1263"/>
      <c r="M6" s="1263"/>
      <c r="N6" s="1263"/>
      <c r="O6" s="1263"/>
      <c r="P6" s="1263"/>
    </row>
    <row r="8" spans="1:17" ht="20.25">
      <c r="A8" s="401"/>
      <c r="O8" s="10" t="str">
        <f>"Page "&amp;Q8&amp;" of "</f>
        <v xml:space="preserve">Page 1 of </v>
      </c>
      <c r="P8" s="402">
        <f>COUNT(Q$8:Q$58122)</f>
        <v>2</v>
      </c>
      <c r="Q8" s="10">
        <v>1</v>
      </c>
    </row>
    <row r="9" spans="1:17" ht="18">
      <c r="C9" s="13"/>
    </row>
    <row r="11" spans="1:17" ht="18">
      <c r="B11" s="403" t="s">
        <v>171</v>
      </c>
      <c r="C11" s="1304" t="str">
        <f>"Calculate Return and Income Taxes with "&amp;F17&amp;" basis point ROE increase for Projects Qualified for Regional Billing."</f>
        <v>Calculate Return and Income Taxes with 0 basis point ROE increase for Projects Qualified for Regional Billing.</v>
      </c>
      <c r="D11" s="1305"/>
      <c r="E11" s="1305"/>
      <c r="F11" s="1305"/>
      <c r="G11" s="1305"/>
      <c r="H11" s="1305"/>
      <c r="I11" s="1305"/>
    </row>
    <row r="12" spans="1:17" ht="18.75" customHeight="1">
      <c r="C12" s="1305"/>
      <c r="D12" s="1305"/>
      <c r="E12" s="1305"/>
      <c r="F12" s="1305"/>
      <c r="G12" s="1305"/>
      <c r="H12" s="1305"/>
      <c r="I12" s="1305"/>
    </row>
    <row r="13" spans="1:17" ht="15.75" customHeight="1">
      <c r="C13" s="12"/>
      <c r="D13" s="12"/>
      <c r="E13" s="12"/>
      <c r="F13" s="12"/>
      <c r="G13" s="12"/>
      <c r="H13" s="12"/>
      <c r="I13" s="12"/>
    </row>
    <row r="14" spans="1:17" ht="15.75">
      <c r="C14" s="404" t="str">
        <f>"A.   Determine 'R' with hypothetical "&amp;F17&amp;" basis point increase in ROE for Identified Projects"</f>
        <v>A.   Determine 'R' with hypothetical 0 basis point increase in ROE for Identified Projects</v>
      </c>
      <c r="D14" s="273"/>
    </row>
    <row r="15" spans="1:17">
      <c r="C15" s="67"/>
      <c r="D15" s="273"/>
    </row>
    <row r="16" spans="1:17">
      <c r="C16" s="405" t="str">
        <f>"   ROE w/o incentives  (TCOS, ln "&amp;TCOS!B273&amp;")"</f>
        <v xml:space="preserve">   ROE w/o incentives  (TCOS, ln 156)</v>
      </c>
      <c r="D16" s="273"/>
      <c r="E16" s="406"/>
      <c r="F16" s="513">
        <f>TCOS!J273</f>
        <v>0.10349999999999999</v>
      </c>
      <c r="G16" s="513"/>
      <c r="H16" s="406"/>
      <c r="I16" s="408"/>
      <c r="J16" s="408"/>
      <c r="K16" s="408"/>
      <c r="L16" s="408"/>
      <c r="M16" s="408"/>
      <c r="N16" s="408"/>
      <c r="O16" s="408"/>
      <c r="P16" s="408"/>
      <c r="Q16" s="408"/>
    </row>
    <row r="17" spans="3:17" ht="13.5" thickBot="1">
      <c r="C17" s="405" t="s">
        <v>252</v>
      </c>
      <c r="D17" s="273"/>
      <c r="E17" s="406"/>
      <c r="F17" s="625">
        <v>0</v>
      </c>
      <c r="G17" s="406"/>
      <c r="H17" s="406"/>
      <c r="I17" s="408"/>
      <c r="J17" s="408"/>
      <c r="K17" s="408"/>
      <c r="L17" s="408"/>
      <c r="M17" s="408"/>
      <c r="N17" s="408"/>
      <c r="O17" s="408"/>
      <c r="P17" s="408"/>
      <c r="Q17" s="408"/>
    </row>
    <row r="18" spans="3:17">
      <c r="C18" s="405" t="str">
        <f>"   ROE with additional "&amp;F17&amp;" basis point incentive"</f>
        <v xml:space="preserve">   ROE with additional 0 basis point incentive</v>
      </c>
      <c r="D18" s="406"/>
      <c r="E18" s="406"/>
      <c r="F18" s="409">
        <f>IF((F16+(F17/10000)&gt;0.125),"ERROR",F16+(F17/10000))</f>
        <v>0.10349999999999999</v>
      </c>
      <c r="G18" s="410"/>
      <c r="H18" s="406"/>
      <c r="I18" s="408"/>
      <c r="J18" s="408"/>
      <c r="K18" s="408"/>
      <c r="L18" s="514" t="s">
        <v>453</v>
      </c>
      <c r="M18" s="515"/>
      <c r="N18" s="515"/>
      <c r="O18" s="515"/>
      <c r="P18" s="516"/>
      <c r="Q18" s="408"/>
    </row>
    <row r="19" spans="3:17">
      <c r="C19" s="405"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73"/>
      <c r="E19" s="406"/>
      <c r="F19" s="411"/>
      <c r="G19" s="411"/>
      <c r="H19" s="406"/>
      <c r="I19" s="408"/>
      <c r="J19" s="408"/>
      <c r="K19" s="408"/>
      <c r="L19" s="517"/>
      <c r="M19" s="408"/>
      <c r="N19" s="408" t="s">
        <v>254</v>
      </c>
      <c r="O19" s="408" t="s">
        <v>255</v>
      </c>
      <c r="P19" s="518" t="s">
        <v>256</v>
      </c>
      <c r="Q19" s="408"/>
    </row>
    <row r="20" spans="3:17">
      <c r="C20" s="408"/>
      <c r="D20" s="412" t="s">
        <v>146</v>
      </c>
      <c r="E20" s="412" t="s">
        <v>145</v>
      </c>
      <c r="F20" s="413" t="s">
        <v>253</v>
      </c>
      <c r="G20" s="413"/>
      <c r="H20" s="406"/>
      <c r="I20" s="408"/>
      <c r="J20" s="408"/>
      <c r="K20" s="408"/>
      <c r="L20" s="517" t="s">
        <v>451</v>
      </c>
      <c r="M20" s="519">
        <f>+TCOS!L4</f>
        <v>2025</v>
      </c>
      <c r="P20" s="520"/>
      <c r="Q20" s="408"/>
    </row>
    <row r="21" spans="3:17">
      <c r="C21" s="414" t="s">
        <v>257</v>
      </c>
      <c r="D21" s="521">
        <f>TCOS!H271</f>
        <v>0.54409751221348901</v>
      </c>
      <c r="E21" s="415">
        <f>TCOS!J271</f>
        <v>5.9428125172220979E-2</v>
      </c>
      <c r="F21" s="416">
        <f>E21*D21</f>
        <v>3.233469506171726E-2</v>
      </c>
      <c r="G21" s="416"/>
      <c r="H21" s="406"/>
      <c r="I21" s="408"/>
      <c r="J21" s="417"/>
      <c r="K21" s="417"/>
      <c r="L21" s="477"/>
      <c r="M21" s="522" t="s">
        <v>452</v>
      </c>
      <c r="N21" s="635">
        <f>M90</f>
        <v>102097.60806504481</v>
      </c>
      <c r="O21" s="635">
        <f>N90</f>
        <v>102097.60806504481</v>
      </c>
      <c r="P21" s="523">
        <f>+O21-N21</f>
        <v>0</v>
      </c>
      <c r="Q21" s="417"/>
    </row>
    <row r="22" spans="3:17" ht="13.5" thickBot="1">
      <c r="C22" s="414" t="s">
        <v>258</v>
      </c>
      <c r="D22" s="521">
        <f>TCOS!H272</f>
        <v>0</v>
      </c>
      <c r="E22" s="415">
        <f>TCOS!J272</f>
        <v>0</v>
      </c>
      <c r="F22" s="416">
        <f>E22*D22</f>
        <v>0</v>
      </c>
      <c r="G22" s="416"/>
      <c r="H22" s="418"/>
      <c r="I22" s="418"/>
      <c r="J22" s="419"/>
      <c r="K22" s="419"/>
      <c r="L22" s="477"/>
      <c r="M22" s="522" t="s">
        <v>259</v>
      </c>
      <c r="N22" s="636">
        <f>M91</f>
        <v>109994.82903209761</v>
      </c>
      <c r="O22" s="636">
        <f>N91</f>
        <v>109994.82903209761</v>
      </c>
      <c r="P22" s="524">
        <f>+O22-N22</f>
        <v>0</v>
      </c>
      <c r="Q22" s="419"/>
    </row>
    <row r="23" spans="3:17">
      <c r="C23" s="414" t="s">
        <v>244</v>
      </c>
      <c r="D23" s="521">
        <f>TCOS!H273</f>
        <v>0.4559024877865111</v>
      </c>
      <c r="E23" s="415">
        <f>+F18</f>
        <v>0.10349999999999999</v>
      </c>
      <c r="F23" s="420">
        <f>E23*D23</f>
        <v>4.71859074859039E-2</v>
      </c>
      <c r="G23" s="420"/>
      <c r="H23" s="418"/>
      <c r="I23" s="418"/>
      <c r="J23" s="419"/>
      <c r="K23" s="419"/>
      <c r="L23" s="477"/>
      <c r="M23" s="522" t="str">
        <f>"True-up of ARR For "&amp;TCOS!L4&amp;""</f>
        <v>True-up of ARR For 2025</v>
      </c>
      <c r="N23" s="459">
        <f>+N22-N21</f>
        <v>7897.2209670527955</v>
      </c>
      <c r="O23" s="459">
        <f>+O22-O21</f>
        <v>7897.2209670527955</v>
      </c>
      <c r="P23" s="525">
        <f>+P22-P21</f>
        <v>0</v>
      </c>
      <c r="Q23" s="419"/>
    </row>
    <row r="24" spans="3:17">
      <c r="C24" s="405"/>
      <c r="D24"/>
      <c r="E24" s="421" t="s">
        <v>260</v>
      </c>
      <c r="F24" s="416">
        <f>SUM(F21:F23)</f>
        <v>7.9520602547621166E-2</v>
      </c>
      <c r="G24" s="416"/>
      <c r="H24" s="418"/>
      <c r="I24" s="418"/>
      <c r="J24" s="419"/>
      <c r="K24" s="419"/>
      <c r="L24" s="477"/>
      <c r="P24" s="520"/>
      <c r="Q24" s="419"/>
    </row>
    <row r="25" spans="3:17" ht="13.5" thickBot="1">
      <c r="C25" s="67"/>
      <c r="D25" s="426"/>
      <c r="E25" s="426"/>
      <c r="F25" s="418"/>
      <c r="G25" s="418"/>
      <c r="H25" s="418"/>
      <c r="I25" s="418"/>
      <c r="J25" s="418"/>
      <c r="K25" s="418"/>
      <c r="L25" s="526"/>
      <c r="M25" s="527"/>
      <c r="N25" s="528"/>
      <c r="O25" s="528"/>
      <c r="P25" s="524"/>
      <c r="Q25" s="418"/>
    </row>
    <row r="26" spans="3:17" ht="15.75">
      <c r="C26" s="404" t="str">
        <f>"B.   Determine Return using 'R' with hypothetical "&amp;F17&amp;" basis point ROE increase for Identified Projects."</f>
        <v>B.   Determine Return using 'R' with hypothetical 0 basis point ROE increase for Identified Projects.</v>
      </c>
      <c r="D26" s="426"/>
      <c r="E26" s="426"/>
      <c r="F26" s="418"/>
      <c r="G26" s="418"/>
      <c r="H26" s="418"/>
      <c r="I26" s="406"/>
      <c r="J26" s="418"/>
      <c r="K26" s="418"/>
      <c r="L26" s="418"/>
      <c r="M26" s="418"/>
      <c r="N26" s="418"/>
      <c r="O26" s="418"/>
      <c r="P26" s="418"/>
      <c r="Q26" s="418"/>
    </row>
    <row r="27" spans="3:17">
      <c r="C27" s="408"/>
      <c r="D27" s="426"/>
      <c r="E27" s="426"/>
      <c r="F27" s="418"/>
      <c r="G27" s="418"/>
      <c r="H27" s="418"/>
      <c r="I27" s="418"/>
      <c r="J27" s="418"/>
      <c r="K27" s="418"/>
      <c r="L27" s="418"/>
      <c r="M27" s="418"/>
      <c r="N27" s="418"/>
      <c r="O27" s="418"/>
      <c r="P27" s="418"/>
      <c r="Q27" s="418"/>
    </row>
    <row r="28" spans="3:17">
      <c r="C28" s="433" t="str">
        <f>"   Rate Base  (TCOS, ln "&amp;TCOS!B131&amp;")"</f>
        <v xml:space="preserve">   Rate Base  (TCOS, ln 68)</v>
      </c>
      <c r="D28" s="406"/>
      <c r="E28" s="434">
        <f>TCOS!L131</f>
        <v>106350644.87933302</v>
      </c>
      <c r="F28" s="441"/>
      <c r="G28" s="441"/>
      <c r="H28" s="418"/>
      <c r="I28" s="418"/>
      <c r="J28" s="418"/>
      <c r="K28" s="418"/>
      <c r="L28" s="418"/>
      <c r="M28" s="418"/>
      <c r="N28" s="418"/>
      <c r="O28" s="418"/>
      <c r="P28" s="441"/>
      <c r="Q28" s="418"/>
    </row>
    <row r="29" spans="3:17">
      <c r="C29" s="408" t="s">
        <v>473</v>
      </c>
      <c r="D29" s="436"/>
      <c r="E29" s="416">
        <f>F24</f>
        <v>7.9520602547621166E-2</v>
      </c>
      <c r="F29" s="418"/>
      <c r="G29" s="418"/>
      <c r="H29" s="418"/>
      <c r="I29" s="418"/>
      <c r="J29" s="418"/>
      <c r="K29" s="418"/>
      <c r="L29" s="418"/>
      <c r="M29" s="418"/>
      <c r="N29" s="418"/>
      <c r="O29" s="418"/>
      <c r="P29" s="418"/>
      <c r="Q29" s="418"/>
    </row>
    <row r="30" spans="3:17">
      <c r="C30" s="437" t="s">
        <v>262</v>
      </c>
      <c r="D30" s="437"/>
      <c r="E30" s="419">
        <f>E28*E29</f>
        <v>8457067.3621326424</v>
      </c>
      <c r="F30" s="418"/>
      <c r="G30" s="418"/>
      <c r="H30" s="418"/>
      <c r="I30" s="418"/>
      <c r="J30" s="419"/>
      <c r="K30" s="419"/>
      <c r="L30" s="419"/>
      <c r="M30" s="419"/>
      <c r="N30" s="419"/>
      <c r="O30" s="419"/>
      <c r="P30" s="418"/>
      <c r="Q30" s="419"/>
    </row>
    <row r="31" spans="3:17">
      <c r="C31" s="437"/>
      <c r="D31" s="408"/>
      <c r="E31" s="408"/>
      <c r="F31" s="418"/>
      <c r="G31" s="418"/>
      <c r="H31" s="418"/>
      <c r="I31" s="418"/>
      <c r="J31" s="419"/>
      <c r="K31" s="419"/>
      <c r="L31" s="419"/>
      <c r="M31" s="419"/>
      <c r="N31" s="419"/>
      <c r="O31" s="419"/>
      <c r="P31" s="418"/>
      <c r="Q31" s="419"/>
    </row>
    <row r="32" spans="3:17" ht="15.75">
      <c r="C32" s="404" t="str">
        <f>"C.   Determine Income Taxes using Return with hypothetical "&amp;F17&amp;" basis point ROE increase for Identified Projects."</f>
        <v>C.   Determine Income Taxes using Return with hypothetical 0 basis point ROE increase for Identified Projects.</v>
      </c>
      <c r="D32" s="438"/>
      <c r="E32" s="438"/>
      <c r="F32" s="439"/>
      <c r="G32" s="439"/>
      <c r="H32" s="439"/>
      <c r="I32" s="439"/>
      <c r="J32" s="440"/>
      <c r="K32" s="440"/>
      <c r="L32" s="440"/>
      <c r="M32" s="440"/>
      <c r="N32" s="440"/>
      <c r="O32" s="440"/>
      <c r="P32" s="439"/>
      <c r="Q32" s="440"/>
    </row>
    <row r="33" spans="2:17">
      <c r="C33" s="405"/>
      <c r="D33" s="408"/>
      <c r="E33" s="408"/>
      <c r="F33" s="418"/>
      <c r="G33" s="418"/>
      <c r="H33" s="418"/>
      <c r="I33" s="418"/>
      <c r="J33" s="419"/>
      <c r="K33" s="419"/>
      <c r="L33" s="419"/>
      <c r="M33" s="419"/>
      <c r="N33" s="419"/>
      <c r="O33" s="419"/>
      <c r="P33" s="418"/>
      <c r="Q33" s="419"/>
    </row>
    <row r="34" spans="2:17">
      <c r="C34" s="408" t="s">
        <v>263</v>
      </c>
      <c r="D34" s="421"/>
      <c r="E34" s="441">
        <f>E30</f>
        <v>8457067.3621326424</v>
      </c>
      <c r="F34" s="418"/>
      <c r="G34" s="418"/>
      <c r="H34" s="418"/>
      <c r="I34" s="418"/>
      <c r="J34" s="418"/>
      <c r="K34" s="418"/>
      <c r="L34" s="418"/>
      <c r="M34" s="418"/>
      <c r="N34" s="418"/>
      <c r="O34" s="418"/>
      <c r="P34" s="418"/>
      <c r="Q34" s="418"/>
    </row>
    <row r="35" spans="2:17">
      <c r="C35" s="433" t="str">
        <f>"   Effective Tax Rate  (TCOS, ln "&amp;TCOS!B198&amp;")"</f>
        <v xml:space="preserve">   Effective Tax Rate  (TCOS, ln 114)</v>
      </c>
      <c r="D35" s="76"/>
      <c r="E35" s="78">
        <f>TCOS!G198</f>
        <v>0.20783028408811399</v>
      </c>
      <c r="F35" s="3"/>
      <c r="G35" s="3"/>
      <c r="H35" s="3"/>
      <c r="I35" s="442"/>
      <c r="J35" s="3"/>
      <c r="K35" s="3"/>
    </row>
    <row r="36" spans="2:17">
      <c r="C36" s="437" t="s">
        <v>264</v>
      </c>
      <c r="D36" s="76"/>
      <c r="E36" s="443">
        <f>E34*E35</f>
        <v>1757634.7124243439</v>
      </c>
      <c r="F36" s="3"/>
      <c r="G36" s="3"/>
      <c r="H36" s="3"/>
      <c r="I36" s="442"/>
      <c r="J36" s="3"/>
      <c r="K36" s="3"/>
    </row>
    <row r="37" spans="2:17" ht="15">
      <c r="C37" s="405" t="s">
        <v>302</v>
      </c>
      <c r="D37" s="240"/>
      <c r="E37" s="418">
        <f>TCOS!L207</f>
        <v>0</v>
      </c>
      <c r="F37" s="240"/>
      <c r="G37" s="240"/>
      <c r="H37" s="240"/>
      <c r="I37" s="240"/>
      <c r="J37" s="240"/>
      <c r="K37" s="240"/>
      <c r="L37" s="240"/>
      <c r="M37" s="240"/>
      <c r="N37" s="240"/>
      <c r="O37" s="240"/>
      <c r="P37" s="254"/>
      <c r="Q37" s="240"/>
    </row>
    <row r="38" spans="2:17" ht="15">
      <c r="C38" s="405" t="s">
        <v>531</v>
      </c>
      <c r="D38" s="240"/>
      <c r="E38" s="418">
        <f>TCOS!L208</f>
        <v>-172033.80060660178</v>
      </c>
      <c r="F38" s="240"/>
      <c r="G38" s="240"/>
      <c r="H38" s="240"/>
      <c r="I38" s="240"/>
      <c r="J38" s="240"/>
      <c r="K38" s="240"/>
      <c r="L38" s="240"/>
      <c r="M38" s="240"/>
      <c r="N38" s="240"/>
      <c r="O38" s="240"/>
      <c r="P38" s="254"/>
      <c r="Q38" s="240"/>
    </row>
    <row r="39" spans="2:17" ht="15">
      <c r="C39" s="405" t="s">
        <v>532</v>
      </c>
      <c r="D39" s="240"/>
      <c r="E39" s="444">
        <f>TCOS!L209</f>
        <v>32970.087127038896</v>
      </c>
      <c r="F39" s="240"/>
      <c r="G39" s="240"/>
      <c r="H39" s="240"/>
      <c r="I39" s="240"/>
      <c r="J39" s="240"/>
      <c r="K39" s="240"/>
      <c r="L39" s="240"/>
      <c r="M39" s="240"/>
      <c r="N39" s="240"/>
      <c r="O39" s="240"/>
      <c r="P39" s="254"/>
      <c r="Q39" s="240"/>
    </row>
    <row r="40" spans="2:17" ht="15">
      <c r="C40" s="437" t="s">
        <v>265</v>
      </c>
      <c r="D40" s="240"/>
      <c r="E40" s="418">
        <f>E36+E37+E38+E39</f>
        <v>1618570.998944781</v>
      </c>
      <c r="F40" s="240"/>
      <c r="G40" s="240"/>
      <c r="H40" s="240"/>
      <c r="I40" s="240"/>
      <c r="J40" s="240"/>
      <c r="K40" s="240"/>
      <c r="L40" s="240"/>
      <c r="M40" s="240"/>
      <c r="N40" s="240"/>
      <c r="O40" s="240"/>
      <c r="P40" s="253"/>
      <c r="Q40" s="240"/>
    </row>
    <row r="41" spans="2:17" ht="12.75" customHeight="1">
      <c r="C41" s="237"/>
      <c r="D41" s="240"/>
      <c r="E41" s="240"/>
      <c r="F41" s="240"/>
      <c r="G41" s="240"/>
      <c r="H41" s="240"/>
      <c r="I41" s="240"/>
      <c r="J41" s="240"/>
      <c r="K41" s="240"/>
      <c r="L41" s="240"/>
      <c r="M41" s="240"/>
      <c r="N41" s="240"/>
      <c r="O41" s="240"/>
      <c r="P41" s="253"/>
      <c r="Q41" s="240"/>
    </row>
    <row r="42" spans="2:17" ht="18.75">
      <c r="B42" s="403" t="s">
        <v>172</v>
      </c>
      <c r="C42" s="13" t="str">
        <f>"Calculate Net Plant Carrying Charge Rate (Fixed Charge Rate or FCR) with hypothetical "&amp;F17&amp;""</f>
        <v>Calculate Net Plant Carrying Charge Rate (Fixed Charge Rate or FCR) with hypothetical 0</v>
      </c>
      <c r="D42" s="240"/>
      <c r="E42" s="240"/>
      <c r="F42" s="240"/>
      <c r="G42" s="240"/>
      <c r="H42" s="240"/>
      <c r="I42" s="240"/>
      <c r="J42" s="240"/>
      <c r="K42" s="240"/>
      <c r="L42" s="240"/>
      <c r="M42" s="240"/>
      <c r="N42" s="240"/>
      <c r="O42" s="240"/>
      <c r="P42" s="253"/>
      <c r="Q42" s="240"/>
    </row>
    <row r="43" spans="2:17" ht="18.75" customHeight="1">
      <c r="C43" s="13" t="str">
        <f>"basis point ROE increase."</f>
        <v>basis point ROE increase.</v>
      </c>
      <c r="D43" s="240"/>
      <c r="E43" s="240"/>
      <c r="F43" s="240"/>
      <c r="G43" s="240"/>
      <c r="H43" s="240"/>
      <c r="I43" s="240"/>
      <c r="J43" s="240"/>
      <c r="K43" s="240"/>
      <c r="L43" s="240"/>
      <c r="M43" s="240"/>
      <c r="N43" s="240"/>
      <c r="O43" s="240"/>
      <c r="P43" s="253"/>
      <c r="Q43" s="240"/>
    </row>
    <row r="44" spans="2:17" ht="12.75" customHeight="1">
      <c r="C44" s="13"/>
      <c r="D44" s="240"/>
      <c r="E44" s="240"/>
      <c r="F44" s="240"/>
      <c r="G44" s="240"/>
      <c r="H44" s="240"/>
      <c r="I44" s="240"/>
      <c r="J44" s="240"/>
      <c r="K44" s="240"/>
      <c r="L44" s="240"/>
      <c r="M44" s="240"/>
      <c r="N44" s="240"/>
      <c r="O44" s="240"/>
      <c r="P44" s="253"/>
      <c r="Q44" s="240"/>
    </row>
    <row r="45" spans="2:17" ht="15.75">
      <c r="C45" s="404" t="s">
        <v>464</v>
      </c>
      <c r="D45" s="240"/>
      <c r="E45" s="240"/>
      <c r="F45" s="237"/>
      <c r="G45" s="237"/>
      <c r="H45" s="240"/>
      <c r="I45" s="240"/>
      <c r="J45" s="240"/>
      <c r="K45" s="240"/>
      <c r="L45" s="240"/>
      <c r="M45" s="240"/>
      <c r="N45" s="240"/>
      <c r="O45" s="240"/>
      <c r="P45" s="253"/>
      <c r="Q45" s="240"/>
    </row>
    <row r="46" spans="2:17">
      <c r="B46" s="3"/>
      <c r="C46" s="405"/>
      <c r="D46" s="406"/>
      <c r="E46" s="406"/>
      <c r="F46" s="406"/>
      <c r="G46" s="406"/>
      <c r="H46" s="406"/>
      <c r="I46" s="406"/>
      <c r="J46" s="406"/>
      <c r="K46" s="406"/>
      <c r="L46" s="406"/>
      <c r="M46" s="406"/>
      <c r="N46" s="406"/>
      <c r="O46" s="406"/>
      <c r="P46" s="418"/>
      <c r="Q46" s="406"/>
    </row>
    <row r="47" spans="2:17" ht="12.75" customHeight="1">
      <c r="B47" s="3"/>
      <c r="C47" s="433" t="str">
        <f>"   Annual Revenue Requirement  (TCOS, ln "&amp;TCOS!B13&amp;")"</f>
        <v xml:space="preserve">   Annual Revenue Requirement  (TCOS, ln 1)</v>
      </c>
      <c r="D47" s="406"/>
      <c r="E47" s="406"/>
      <c r="F47" s="418">
        <f>TCOS!L13</f>
        <v>17001499.509647798</v>
      </c>
      <c r="G47" s="418"/>
      <c r="H47" s="529" t="s">
        <v>114</v>
      </c>
      <c r="I47" s="406"/>
      <c r="J47" s="406"/>
      <c r="K47" s="406"/>
      <c r="L47" s="406"/>
      <c r="M47" s="406"/>
      <c r="N47" s="406"/>
      <c r="O47" s="406"/>
      <c r="P47" s="418"/>
      <c r="Q47" s="406"/>
    </row>
    <row r="48" spans="2:17" ht="12.75" customHeight="1">
      <c r="B48" s="3"/>
      <c r="C48" s="433" t="str">
        <f>"   Lease Payments (TCOS, Ln "&amp;TCOS!B175&amp;")"</f>
        <v xml:space="preserve">   Lease Payments (TCOS, Ln 95)</v>
      </c>
      <c r="D48" s="406"/>
      <c r="E48" s="406"/>
      <c r="F48" s="418">
        <f>TCOS!L175</f>
        <v>0</v>
      </c>
      <c r="G48" s="418"/>
      <c r="H48" s="529"/>
      <c r="I48" s="406"/>
      <c r="J48" s="406"/>
      <c r="K48" s="406"/>
      <c r="L48" s="406"/>
      <c r="M48" s="406"/>
      <c r="N48" s="406"/>
      <c r="O48" s="406"/>
      <c r="P48" s="418"/>
      <c r="Q48" s="406"/>
    </row>
    <row r="49" spans="2:17">
      <c r="B49" s="3"/>
      <c r="C49" s="433" t="str">
        <f>"   Return  (TCOS, ln "&amp;TCOS!B213&amp;")"</f>
        <v xml:space="preserve">   Return  (TCOS, ln 126)</v>
      </c>
      <c r="D49" s="406"/>
      <c r="E49" s="406"/>
      <c r="F49" s="419">
        <f>TCOS!L213</f>
        <v>8457067.3621326424</v>
      </c>
      <c r="G49" s="419"/>
      <c r="H49" s="405"/>
      <c r="I49" s="405"/>
      <c r="J49" s="405"/>
      <c r="K49" s="405"/>
      <c r="L49" s="405"/>
      <c r="M49" s="405"/>
      <c r="N49" s="405"/>
      <c r="O49" s="405"/>
      <c r="P49" s="418"/>
      <c r="Q49" s="405"/>
    </row>
    <row r="50" spans="2:17">
      <c r="B50" s="3"/>
      <c r="C50" s="433" t="str">
        <f>"   Income Taxes  (TCOS, ln "&amp;TCOS!B211&amp;")"</f>
        <v xml:space="preserve">   Income Taxes  (TCOS, ln 125)</v>
      </c>
      <c r="D50" s="406"/>
      <c r="E50" s="406"/>
      <c r="F50" s="445">
        <f>TCOS!L211</f>
        <v>1618570.998944781</v>
      </c>
      <c r="G50" s="445"/>
      <c r="H50" s="406"/>
      <c r="I50" s="406"/>
      <c r="J50" s="446"/>
      <c r="K50" s="446"/>
      <c r="L50" s="446"/>
      <c r="M50" s="446"/>
      <c r="N50" s="446"/>
      <c r="O50" s="446"/>
      <c r="P50" s="406"/>
      <c r="Q50" s="446"/>
    </row>
    <row r="51" spans="2:17">
      <c r="B51" s="3"/>
      <c r="C51" s="1233" t="s">
        <v>588</v>
      </c>
      <c r="D51" s="1305"/>
      <c r="E51" s="406"/>
      <c r="F51" s="419">
        <f>F47-F49-F50-F48</f>
        <v>6925861.1485703746</v>
      </c>
      <c r="G51" s="419"/>
      <c r="H51" s="447"/>
      <c r="I51" s="406"/>
      <c r="J51" s="447"/>
      <c r="K51" s="447"/>
      <c r="L51" s="447"/>
      <c r="M51" s="447"/>
      <c r="N51" s="447"/>
      <c r="O51" s="447"/>
      <c r="P51" s="447"/>
      <c r="Q51" s="447"/>
    </row>
    <row r="52" spans="2:17">
      <c r="B52" s="3"/>
      <c r="C52" s="1305"/>
      <c r="D52" s="1305"/>
      <c r="E52" s="406"/>
      <c r="F52" s="418"/>
      <c r="G52" s="418"/>
      <c r="H52" s="448"/>
      <c r="I52" s="449"/>
      <c r="J52" s="449"/>
      <c r="K52" s="449"/>
      <c r="L52" s="449"/>
      <c r="M52" s="449"/>
      <c r="N52" s="449"/>
      <c r="O52" s="449"/>
      <c r="P52" s="449"/>
      <c r="Q52" s="449"/>
    </row>
    <row r="53" spans="2:17" ht="15.75">
      <c r="B53" s="3"/>
      <c r="C53" s="404" t="str">
        <f>"B.   Determine Annual Revenue Requirement with hypothetical "&amp;F17&amp;" basis point increase in ROE."</f>
        <v>B.   Determine Annual Revenue Requirement with hypothetical 0 basis point increase in ROE.</v>
      </c>
      <c r="D53" s="408"/>
      <c r="E53" s="408"/>
      <c r="F53" s="418"/>
      <c r="G53" s="418"/>
      <c r="H53" s="448"/>
      <c r="I53" s="449"/>
      <c r="J53" s="449"/>
      <c r="K53" s="449"/>
      <c r="L53" s="449"/>
      <c r="M53" s="449"/>
      <c r="N53" s="449"/>
      <c r="O53" s="449"/>
      <c r="P53" s="449"/>
      <c r="Q53" s="449"/>
    </row>
    <row r="54" spans="2:17">
      <c r="B54" s="3"/>
      <c r="C54" s="405"/>
      <c r="D54" s="408"/>
      <c r="E54" s="408"/>
      <c r="F54" s="418"/>
      <c r="G54" s="418"/>
      <c r="H54" s="448"/>
      <c r="I54" s="449"/>
      <c r="J54" s="449"/>
      <c r="K54" s="449"/>
      <c r="L54" s="449"/>
      <c r="M54" s="449"/>
      <c r="N54" s="449"/>
      <c r="O54" s="449"/>
      <c r="P54" s="449"/>
      <c r="Q54" s="449"/>
    </row>
    <row r="55" spans="2:17">
      <c r="B55" s="3"/>
      <c r="C55" s="405" t="str">
        <f>C51</f>
        <v xml:space="preserve">   Annual Revenue Requirement, Less Lease Payments, Return and Taxes</v>
      </c>
      <c r="D55" s="408"/>
      <c r="E55" s="408"/>
      <c r="F55" s="418">
        <f>F51</f>
        <v>6925861.1485703746</v>
      </c>
      <c r="G55" s="418"/>
      <c r="H55" s="406"/>
      <c r="I55" s="406"/>
      <c r="J55" s="406"/>
      <c r="K55" s="406"/>
      <c r="L55" s="406"/>
      <c r="M55" s="406"/>
      <c r="N55" s="406"/>
      <c r="O55" s="406"/>
      <c r="P55" s="450"/>
      <c r="Q55" s="406"/>
    </row>
    <row r="56" spans="2:17">
      <c r="B56" s="3"/>
      <c r="C56" s="408" t="s">
        <v>299</v>
      </c>
      <c r="D56" s="76"/>
      <c r="E56" s="3"/>
      <c r="F56" s="443">
        <f>E30</f>
        <v>8457067.3621326424</v>
      </c>
      <c r="G56" s="443"/>
      <c r="H56" s="3"/>
      <c r="I56" s="451"/>
      <c r="J56" s="3"/>
      <c r="K56" s="3"/>
    </row>
    <row r="57" spans="2:17" ht="12.75" customHeight="1">
      <c r="B57" s="3"/>
      <c r="C57" s="405" t="s">
        <v>266</v>
      </c>
      <c r="D57" s="406"/>
      <c r="E57" s="406"/>
      <c r="F57" s="445">
        <f>E40</f>
        <v>1618570.998944781</v>
      </c>
      <c r="G57" s="445"/>
      <c r="H57" s="3"/>
      <c r="I57" s="442"/>
      <c r="J57" s="3"/>
      <c r="K57" s="3"/>
    </row>
    <row r="58" spans="2:17">
      <c r="B58" s="3"/>
      <c r="C58" s="3" t="str">
        <f>"   Annual Revenue Requirement, with "&amp;F17&amp;" Basis Point ROE increase"</f>
        <v xml:space="preserve">   Annual Revenue Requirement, with 0 Basis Point ROE increase</v>
      </c>
      <c r="D58" s="76"/>
      <c r="E58" s="3"/>
      <c r="F58" s="443">
        <f>SUM(F55:F57)</f>
        <v>17001499.509647798</v>
      </c>
      <c r="G58" s="443"/>
      <c r="H58" s="3"/>
      <c r="I58" s="442"/>
      <c r="J58" s="3"/>
      <c r="K58" s="3"/>
    </row>
    <row r="59" spans="2:17">
      <c r="B59" s="3"/>
      <c r="C59" s="433" t="str">
        <f>"   Depreciation  (TCOS, ln "&amp;TCOS!B181&amp;")"</f>
        <v xml:space="preserve">   Depreciation  (TCOS, ln 100)</v>
      </c>
      <c r="D59" s="76"/>
      <c r="E59" s="3"/>
      <c r="F59" s="452">
        <f>TCOS!L181</f>
        <v>3428949.1263215295</v>
      </c>
      <c r="G59" s="452"/>
      <c r="H59" s="443"/>
      <c r="I59" s="442"/>
      <c r="J59" s="3"/>
      <c r="K59" s="3"/>
    </row>
    <row r="60" spans="2:17">
      <c r="B60" s="3"/>
      <c r="C60" s="1233" t="str">
        <f>"   Annual Rev. Req, w/ "&amp;F17&amp;" Basis Point ROE increase, less Depreciation"</f>
        <v xml:space="preserve">   Annual Rev. Req, w/ 0 Basis Point ROE increase, less Depreciation</v>
      </c>
      <c r="D60" s="1305"/>
      <c r="E60" s="3"/>
      <c r="F60" s="443">
        <f>F58-F59</f>
        <v>13572550.383326268</v>
      </c>
      <c r="G60" s="443"/>
      <c r="H60" s="3"/>
      <c r="I60" s="442"/>
      <c r="J60" s="3"/>
      <c r="K60" s="3"/>
    </row>
    <row r="61" spans="2:17">
      <c r="B61" s="3"/>
      <c r="C61" s="1305"/>
      <c r="D61" s="1305"/>
      <c r="E61" s="3"/>
      <c r="F61" s="3"/>
      <c r="G61" s="3"/>
      <c r="H61" s="3"/>
      <c r="I61" s="442"/>
      <c r="J61" s="3"/>
      <c r="K61" s="3"/>
    </row>
    <row r="62" spans="2:17" ht="15.75">
      <c r="B62" s="3"/>
      <c r="C62" s="404" t="str">
        <f>"C.   Determine FCR with hypothetical "&amp;F17&amp;" basis point ROE increase."</f>
        <v>C.   Determine FCR with hypothetical 0 basis point ROE increase.</v>
      </c>
      <c r="D62" s="76"/>
      <c r="E62" s="3"/>
      <c r="F62" s="3"/>
      <c r="G62" s="3"/>
      <c r="H62" s="3"/>
      <c r="I62" s="442"/>
      <c r="J62" s="3"/>
      <c r="K62" s="3"/>
    </row>
    <row r="63" spans="2:17">
      <c r="B63" s="3"/>
      <c r="C63" s="3"/>
      <c r="D63" s="76"/>
      <c r="E63" s="3"/>
      <c r="F63" s="3"/>
      <c r="G63" s="3"/>
      <c r="H63" s="3"/>
      <c r="I63" s="442"/>
      <c r="J63" s="3"/>
      <c r="K63" s="3"/>
    </row>
    <row r="64" spans="2:17">
      <c r="B64" s="3"/>
      <c r="C64" s="433" t="str">
        <f>"   Net Transmission Plant  (TCOS, ln "&amp;TCOS!B95&amp;")"</f>
        <v xml:space="preserve">   Net Transmission Plant  (TCOS, ln 42)</v>
      </c>
      <c r="D64" s="76"/>
      <c r="E64" s="3"/>
      <c r="F64" s="443">
        <f>TCOS!L95</f>
        <v>132074015.90076925</v>
      </c>
      <c r="G64" s="443"/>
      <c r="H64" s="443"/>
      <c r="I64" s="453"/>
      <c r="J64" s="3"/>
      <c r="K64" s="3"/>
    </row>
    <row r="65" spans="2:11">
      <c r="B65" s="3"/>
      <c r="C65" s="3" t="str">
        <f>"   Annual Revenue Requirement, with "&amp;F17&amp;" Basis Point ROE increase"</f>
        <v xml:space="preserve">   Annual Revenue Requirement, with 0 Basis Point ROE increase</v>
      </c>
      <c r="D65" s="76"/>
      <c r="E65" s="3"/>
      <c r="F65" s="443">
        <f>F58</f>
        <v>17001499.509647798</v>
      </c>
      <c r="G65" s="443"/>
      <c r="H65" s="3"/>
      <c r="I65" s="442"/>
      <c r="J65" s="3"/>
      <c r="K65" s="3"/>
    </row>
    <row r="66" spans="2:11">
      <c r="B66" s="3"/>
      <c r="C66" s="3" t="str">
        <f>"   FCR with "&amp;F17&amp;" Basis Point increase in ROE"</f>
        <v xml:space="preserve">   FCR with 0 Basis Point increase in ROE</v>
      </c>
      <c r="D66" s="76"/>
      <c r="E66" s="3"/>
      <c r="F66" s="78">
        <f>F65/F64</f>
        <v>0.12872705803404569</v>
      </c>
      <c r="G66" s="78"/>
      <c r="H66" s="78"/>
      <c r="I66" s="442"/>
      <c r="J66" s="3"/>
      <c r="K66" s="3"/>
    </row>
    <row r="67" spans="2:11">
      <c r="B67" s="3"/>
      <c r="C67" s="67"/>
      <c r="D67" s="76"/>
      <c r="E67" s="3"/>
      <c r="F67" s="3"/>
      <c r="G67" s="3"/>
      <c r="H67" s="3"/>
      <c r="I67" s="442"/>
      <c r="J67" s="3"/>
      <c r="K67" s="3"/>
    </row>
    <row r="68" spans="2:11">
      <c r="B68" s="3"/>
      <c r="C68" s="3" t="str">
        <f>"   Annual Rev. Req, w / "&amp;F17&amp;" Basis Point ROE increase, less Dep."</f>
        <v xml:space="preserve">   Annual Rev. Req, w / 0 Basis Point ROE increase, less Dep.</v>
      </c>
      <c r="D68" s="76"/>
      <c r="E68" s="3"/>
      <c r="F68" s="443">
        <f>F60</f>
        <v>13572550.383326268</v>
      </c>
      <c r="G68" s="443"/>
      <c r="H68" s="3"/>
      <c r="I68" s="442"/>
      <c r="J68" s="3"/>
      <c r="K68" s="3"/>
    </row>
    <row r="69" spans="2:11">
      <c r="B69" s="3"/>
      <c r="C69" s="3" t="str">
        <f>"   FCR with "&amp;F17&amp;" Basis Point ROE increase, less Depreciation"</f>
        <v xml:space="preserve">   FCR with 0 Basis Point ROE increase, less Depreciation</v>
      </c>
      <c r="D69" s="76"/>
      <c r="E69" s="3"/>
      <c r="F69" s="78">
        <f>F68/F64</f>
        <v>0.10276472848015532</v>
      </c>
      <c r="G69" s="78"/>
      <c r="H69" s="3"/>
      <c r="I69" s="442"/>
      <c r="J69" s="3"/>
      <c r="K69" s="3"/>
    </row>
    <row r="70" spans="2:11">
      <c r="B70" s="3"/>
      <c r="C70" s="433" t="str">
        <f>"   FCR less Depreciation  (TCOS, ln "&amp;TCOS!B34&amp;")"</f>
        <v xml:space="preserve">   FCR less Depreciation  (TCOS, ln 10)</v>
      </c>
      <c r="D70" s="76"/>
      <c r="E70" s="3"/>
      <c r="F70" s="454">
        <f>TCOS!L34</f>
        <v>0.10276472848015532</v>
      </c>
      <c r="G70" s="454"/>
      <c r="H70" s="3"/>
      <c r="I70" s="442"/>
      <c r="J70" s="3"/>
      <c r="K70" s="3"/>
    </row>
    <row r="71" spans="2:11">
      <c r="B71" s="3"/>
      <c r="C71" s="1233" t="str">
        <f>"   Incremental FCR with "&amp;F17&amp;" Basis Point ROE increase, less Depreciation"</f>
        <v xml:space="preserve">   Incremental FCR with 0 Basis Point ROE increase, less Depreciation</v>
      </c>
      <c r="D71" s="1305"/>
      <c r="E71" s="3"/>
      <c r="F71" s="78">
        <f>F69-F70</f>
        <v>0</v>
      </c>
      <c r="G71" s="78"/>
      <c r="H71" s="3"/>
      <c r="I71" s="442"/>
      <c r="J71" s="3"/>
      <c r="K71" s="3"/>
    </row>
    <row r="72" spans="2:11">
      <c r="B72" s="3"/>
      <c r="C72" s="1305"/>
      <c r="D72" s="1305"/>
      <c r="E72" s="3"/>
      <c r="F72" s="78"/>
      <c r="G72" s="78"/>
      <c r="H72" s="3"/>
      <c r="I72" s="442"/>
      <c r="J72" s="3"/>
      <c r="K72" s="3"/>
    </row>
    <row r="73" spans="2:11" ht="18.75">
      <c r="B73" s="403" t="s">
        <v>173</v>
      </c>
      <c r="C73" s="13" t="s">
        <v>267</v>
      </c>
      <c r="D73" s="76"/>
      <c r="E73" s="3"/>
      <c r="F73" s="78"/>
      <c r="G73" s="78"/>
      <c r="H73" s="3"/>
      <c r="I73" s="442"/>
      <c r="J73" s="3"/>
      <c r="K73" s="3"/>
    </row>
    <row r="74" spans="2:11">
      <c r="B74" s="3"/>
      <c r="C74" s="3"/>
      <c r="D74" s="76"/>
      <c r="E74" s="3"/>
      <c r="F74" s="78"/>
      <c r="G74" s="78"/>
      <c r="H74" s="3"/>
      <c r="I74" s="442"/>
      <c r="J74" s="3"/>
      <c r="K74" s="3"/>
    </row>
    <row r="75" spans="2:11">
      <c r="B75" s="3"/>
      <c r="C75" s="3" t="str">
        <f>+"Average Transmission Plant Balance for "&amp;TCOS!L4&amp;" (TCOS, ln "&amp;TCOS!B68&amp;")"</f>
        <v>Average Transmission Plant Balance for 2025 (TCOS, ln 21)</v>
      </c>
      <c r="D75" s="76"/>
      <c r="H75" s="442">
        <f>TCOS!L68</f>
        <v>166012340.02615386</v>
      </c>
      <c r="J75" s="3"/>
      <c r="K75" s="3"/>
    </row>
    <row r="76" spans="2:11">
      <c r="B76" s="3"/>
      <c r="C76" s="455" t="str">
        <f>"Annual Depreciation and Amortization Expense (TCOS, ln "&amp;TCOS!B181&amp;")"</f>
        <v>Annual Depreciation and Amortization Expense (TCOS, ln 100)</v>
      </c>
      <c r="D76" s="76"/>
      <c r="E76" s="3"/>
      <c r="H76" s="456">
        <f>TCOS!L181</f>
        <v>3428949.1263215295</v>
      </c>
      <c r="I76" s="442"/>
      <c r="J76" s="3"/>
      <c r="K76" s="3"/>
    </row>
    <row r="77" spans="2:11">
      <c r="B77" s="3"/>
      <c r="C77" s="3" t="s">
        <v>268</v>
      </c>
      <c r="D77" s="76"/>
      <c r="E77" s="3"/>
      <c r="H77" s="78">
        <f>+H76/H75</f>
        <v>2.0654784612886772E-2</v>
      </c>
      <c r="I77" s="458"/>
      <c r="J77" s="3"/>
      <c r="K77" s="3"/>
    </row>
    <row r="78" spans="2:11">
      <c r="B78" s="3"/>
      <c r="C78" s="3" t="s">
        <v>269</v>
      </c>
      <c r="D78" s="76"/>
      <c r="E78" s="3"/>
      <c r="H78" s="458">
        <f>1/H77</f>
        <v>48.414932362746008</v>
      </c>
      <c r="I78" s="442"/>
      <c r="J78" s="3"/>
      <c r="K78" s="3"/>
    </row>
    <row r="79" spans="2:11">
      <c r="B79" s="3"/>
      <c r="C79" s="3" t="s">
        <v>270</v>
      </c>
      <c r="D79" s="76"/>
      <c r="E79" s="3"/>
      <c r="H79" s="459">
        <f>ROUND(H78,0)</f>
        <v>48</v>
      </c>
      <c r="I79" s="442"/>
      <c r="J79" s="3"/>
      <c r="K79" s="3"/>
    </row>
    <row r="80" spans="2:11">
      <c r="B80" s="3"/>
      <c r="C80" s="3"/>
      <c r="D80" s="76"/>
      <c r="E80" s="3"/>
      <c r="H80" s="459"/>
      <c r="I80" s="442"/>
      <c r="J80" s="3"/>
      <c r="K80" s="3"/>
    </row>
    <row r="81" spans="1:17">
      <c r="C81" s="460"/>
      <c r="D81" s="459"/>
      <c r="E81" s="459"/>
      <c r="F81" s="459"/>
      <c r="G81" s="459"/>
      <c r="H81" s="457"/>
      <c r="I81" s="457"/>
      <c r="J81" s="461"/>
      <c r="K81" s="461"/>
      <c r="L81" s="461"/>
      <c r="M81" s="461"/>
      <c r="N81" s="461"/>
      <c r="O81" s="461"/>
      <c r="Q81" s="461"/>
    </row>
    <row r="82" spans="1:17">
      <c r="C82" s="460"/>
      <c r="D82" s="459"/>
      <c r="E82" s="459"/>
      <c r="F82" s="459"/>
      <c r="G82" s="459"/>
      <c r="H82" s="457"/>
      <c r="I82" s="457"/>
      <c r="J82" s="461"/>
      <c r="K82" s="461"/>
      <c r="L82" s="461"/>
      <c r="M82" s="461"/>
      <c r="N82" s="461"/>
      <c r="O82" s="461"/>
      <c r="Q82" s="461"/>
    </row>
    <row r="83" spans="1:17" ht="20.25">
      <c r="A83" s="401" t="s">
        <v>762</v>
      </c>
      <c r="B83" s="3"/>
      <c r="C83" s="3"/>
      <c r="D83" s="76"/>
      <c r="E83" s="3"/>
      <c r="F83" s="78"/>
      <c r="G83" s="78"/>
      <c r="H83" s="3"/>
      <c r="I83" s="442"/>
      <c r="L83" s="10"/>
      <c r="M83" s="10"/>
      <c r="N83" s="10"/>
      <c r="O83" s="10" t="str">
        <f>"Page "&amp;SUM(Q$3:Q83)&amp;" of "</f>
        <v xml:space="preserve">Page 2 of </v>
      </c>
      <c r="P83" s="402">
        <f>COUNT(Q$8:Q$58122)</f>
        <v>2</v>
      </c>
      <c r="Q83" s="530">
        <v>1</v>
      </c>
    </row>
    <row r="84" spans="1:17">
      <c r="B84" s="3"/>
      <c r="C84" s="3"/>
      <c r="D84" s="76"/>
      <c r="E84" s="3"/>
      <c r="F84" s="3"/>
      <c r="G84" s="3"/>
      <c r="H84" s="3"/>
      <c r="I84" s="442"/>
      <c r="J84" s="3"/>
      <c r="K84" s="3"/>
    </row>
    <row r="85" spans="1:17" ht="18">
      <c r="B85" s="403" t="s">
        <v>174</v>
      </c>
      <c r="C85" s="462" t="s">
        <v>290</v>
      </c>
      <c r="D85" s="76"/>
      <c r="E85" s="3"/>
      <c r="F85" s="3"/>
      <c r="G85" s="3"/>
      <c r="H85" s="3"/>
      <c r="I85" s="442"/>
      <c r="J85" s="442"/>
      <c r="K85" s="457"/>
      <c r="L85" s="442"/>
      <c r="M85" s="442"/>
      <c r="N85" s="442"/>
      <c r="O85" s="442"/>
      <c r="Q85" s="457"/>
    </row>
    <row r="86" spans="1:17" ht="18.75">
      <c r="B86" s="403"/>
      <c r="C86" s="13"/>
      <c r="D86" s="76"/>
      <c r="E86" s="3"/>
      <c r="F86" s="3"/>
      <c r="G86" s="3"/>
      <c r="H86" s="3"/>
      <c r="I86" s="442"/>
      <c r="J86" s="442"/>
      <c r="K86" s="457"/>
      <c r="L86" s="442"/>
      <c r="M86" s="442"/>
      <c r="N86" s="442"/>
      <c r="O86" s="442"/>
      <c r="Q86" s="457"/>
    </row>
    <row r="87" spans="1:17" ht="18.75">
      <c r="B87" s="403"/>
      <c r="C87" s="13" t="s">
        <v>291</v>
      </c>
      <c r="D87" s="76"/>
      <c r="E87" s="3"/>
      <c r="F87" s="3"/>
      <c r="G87" s="3"/>
      <c r="H87" s="3"/>
      <c r="I87" s="442"/>
      <c r="J87" s="442"/>
      <c r="K87" s="457"/>
      <c r="L87" s="442"/>
      <c r="M87" s="442"/>
      <c r="N87" s="442"/>
      <c r="O87" s="442"/>
      <c r="Q87" s="457"/>
    </row>
    <row r="88" spans="1:17" ht="15.75" thickBot="1">
      <c r="C88" s="237"/>
      <c r="D88" s="76"/>
      <c r="E88" s="3"/>
      <c r="F88" s="3"/>
      <c r="G88" s="3"/>
      <c r="H88" s="3"/>
      <c r="I88" s="442"/>
      <c r="J88" s="442"/>
      <c r="K88" s="457"/>
      <c r="L88" s="442"/>
      <c r="M88" s="442"/>
      <c r="N88" s="442"/>
      <c r="O88" s="442"/>
      <c r="Q88" s="457"/>
    </row>
    <row r="89" spans="1:17" ht="15.75">
      <c r="C89" s="404" t="s">
        <v>292</v>
      </c>
      <c r="D89" s="76"/>
      <c r="E89" s="3"/>
      <c r="F89" s="3"/>
      <c r="G89" s="3"/>
      <c r="H89" s="627"/>
      <c r="I89" s="3" t="s">
        <v>271</v>
      </c>
      <c r="J89" s="3"/>
      <c r="K89" s="3"/>
      <c r="L89" s="531">
        <f>+J95</f>
        <v>2025</v>
      </c>
      <c r="M89" s="515" t="s">
        <v>254</v>
      </c>
      <c r="N89" s="515" t="s">
        <v>255</v>
      </c>
      <c r="O89" s="516" t="s">
        <v>256</v>
      </c>
    </row>
    <row r="90" spans="1:17" ht="15.75">
      <c r="C90" s="404"/>
      <c r="D90" s="76"/>
      <c r="E90" s="3"/>
      <c r="F90" s="3"/>
      <c r="H90" s="3"/>
      <c r="I90" s="466"/>
      <c r="J90" s="466"/>
      <c r="K90" s="467"/>
      <c r="L90" s="532" t="s">
        <v>454</v>
      </c>
      <c r="M90" s="533">
        <f>VLOOKUP(J95,C102:P161,10)</f>
        <v>102097.60806504481</v>
      </c>
      <c r="N90" s="533">
        <f>VLOOKUP(J95,C102:P161,12)</f>
        <v>102097.60806504481</v>
      </c>
      <c r="O90" s="534">
        <f>+N90-M90</f>
        <v>0</v>
      </c>
      <c r="Q90" s="467"/>
    </row>
    <row r="91" spans="1:17">
      <c r="C91" s="469" t="s">
        <v>293</v>
      </c>
      <c r="D91" s="637" t="s">
        <v>894</v>
      </c>
      <c r="E91" s="637"/>
      <c r="F91" s="637"/>
      <c r="G91" s="637"/>
      <c r="H91" s="637"/>
      <c r="I91" s="442"/>
      <c r="J91" s="442"/>
      <c r="K91" s="457"/>
      <c r="L91" s="532" t="s">
        <v>455</v>
      </c>
      <c r="M91" s="535">
        <f>VLOOKUP(J95,C102:P161,6)</f>
        <v>109994.82903209761</v>
      </c>
      <c r="N91" s="535">
        <f>VLOOKUP(J95,C102:P161,7)</f>
        <v>109994.82903209761</v>
      </c>
      <c r="O91" s="536">
        <f>+N91-M91</f>
        <v>0</v>
      </c>
      <c r="Q91" s="457"/>
    </row>
    <row r="92" spans="1:17" ht="13.5" thickBot="1">
      <c r="C92" s="471"/>
      <c r="D92" s="472"/>
      <c r="E92" s="459"/>
      <c r="F92" s="459"/>
      <c r="G92" s="459"/>
      <c r="H92" s="473"/>
      <c r="I92" s="442"/>
      <c r="J92" s="442"/>
      <c r="K92" s="457"/>
      <c r="L92" s="482" t="s">
        <v>456</v>
      </c>
      <c r="M92" s="537">
        <f>+M91-M90</f>
        <v>7897.2209670527955</v>
      </c>
      <c r="N92" s="537">
        <f>+N91-N90</f>
        <v>7897.2209670527955</v>
      </c>
      <c r="O92" s="538">
        <f>+O91-O90</f>
        <v>0</v>
      </c>
      <c r="Q92" s="457"/>
    </row>
    <row r="93" spans="1:17" ht="13.5" thickBot="1">
      <c r="C93" s="471"/>
      <c r="D93" s="3"/>
      <c r="E93" s="473"/>
      <c r="F93" s="473"/>
      <c r="G93" s="473"/>
      <c r="H93" s="473"/>
      <c r="I93" s="473"/>
      <c r="J93" s="473"/>
      <c r="K93" s="473"/>
      <c r="L93" s="473"/>
      <c r="M93" s="473"/>
      <c r="N93" s="473"/>
      <c r="O93" s="473"/>
      <c r="Q93" s="473"/>
    </row>
    <row r="94" spans="1:17" ht="13.5" thickBot="1">
      <c r="C94" s="474" t="s">
        <v>294</v>
      </c>
      <c r="D94" s="475"/>
      <c r="E94" s="475"/>
      <c r="F94" s="475"/>
      <c r="G94" s="475"/>
      <c r="H94" s="475"/>
      <c r="I94" s="475"/>
      <c r="J94" s="475"/>
      <c r="Q94"/>
    </row>
    <row r="95" spans="1:17" ht="15">
      <c r="A95" s="972"/>
      <c r="C95" s="477" t="s">
        <v>272</v>
      </c>
      <c r="D95" s="628">
        <v>1115334.06</v>
      </c>
      <c r="E95" s="3" t="s">
        <v>273</v>
      </c>
      <c r="H95" s="76"/>
      <c r="I95" s="76"/>
      <c r="J95" s="478">
        <v>2025</v>
      </c>
      <c r="K95" s="130"/>
      <c r="L95" s="1306" t="s">
        <v>274</v>
      </c>
      <c r="M95" s="1306"/>
      <c r="N95" s="1306"/>
      <c r="O95" s="1306"/>
      <c r="Q95" s="130"/>
    </row>
    <row r="96" spans="1:17">
      <c r="A96" s="972"/>
      <c r="C96" s="477" t="s">
        <v>275</v>
      </c>
      <c r="D96" s="638">
        <v>2013</v>
      </c>
      <c r="E96" s="477" t="s">
        <v>276</v>
      </c>
      <c r="F96" s="76"/>
      <c r="G96" s="76"/>
      <c r="I96"/>
      <c r="J96" s="631">
        <v>0</v>
      </c>
      <c r="K96" s="479"/>
      <c r="L96" s="457" t="s">
        <v>474</v>
      </c>
      <c r="Q96" s="479"/>
    </row>
    <row r="97" spans="1:17">
      <c r="A97" s="972"/>
      <c r="C97" s="477" t="s">
        <v>277</v>
      </c>
      <c r="D97" s="629">
        <v>10</v>
      </c>
      <c r="E97" s="477" t="s">
        <v>278</v>
      </c>
      <c r="F97" s="76"/>
      <c r="G97" s="76"/>
      <c r="I97"/>
      <c r="J97" s="480">
        <f>$F$70</f>
        <v>0.10276472848015532</v>
      </c>
      <c r="K97" s="78"/>
      <c r="L97" s="3" t="str">
        <f>"          INPUT TRUE-UP ARR (WITH &amp; WITHOUT INCENTIVES) FROM EACH PRIOR YEAR"</f>
        <v xml:space="preserve">          INPUT TRUE-UP ARR (WITH &amp; WITHOUT INCENTIVES) FROM EACH PRIOR YEAR</v>
      </c>
      <c r="Q97" s="78"/>
    </row>
    <row r="98" spans="1:17">
      <c r="A98" s="972"/>
      <c r="C98" s="477" t="s">
        <v>279</v>
      </c>
      <c r="D98" s="481">
        <f>H79</f>
        <v>48</v>
      </c>
      <c r="E98" s="477" t="s">
        <v>280</v>
      </c>
      <c r="F98" s="76"/>
      <c r="G98" s="76"/>
      <c r="I98"/>
      <c r="J98" s="480">
        <f>IF(H89="",J97,$F$69)</f>
        <v>0.10276472848015532</v>
      </c>
      <c r="K98" s="78"/>
      <c r="L98" s="3" t="s">
        <v>362</v>
      </c>
      <c r="M98" s="78"/>
      <c r="N98" s="78"/>
      <c r="O98" s="78"/>
      <c r="Q98" s="78"/>
    </row>
    <row r="99" spans="1:17" ht="13.5" thickBot="1">
      <c r="A99" s="972"/>
      <c r="C99" s="477" t="s">
        <v>281</v>
      </c>
      <c r="D99" s="630" t="s">
        <v>884</v>
      </c>
      <c r="E99" s="482" t="s">
        <v>282</v>
      </c>
      <c r="F99" s="483"/>
      <c r="G99" s="483"/>
      <c r="H99" s="484"/>
      <c r="I99" s="484"/>
      <c r="J99" s="470">
        <f>IF(D95=0,0,D95/D98)</f>
        <v>23236.126250000001</v>
      </c>
      <c r="K99" s="457"/>
      <c r="L99" s="457" t="s">
        <v>363</v>
      </c>
      <c r="M99" s="457"/>
      <c r="N99" s="457"/>
      <c r="O99" s="457"/>
      <c r="Q99" s="457"/>
    </row>
    <row r="100" spans="1:17" ht="38.25">
      <c r="A100" s="12"/>
      <c r="B100" s="12"/>
      <c r="C100" s="485" t="s">
        <v>272</v>
      </c>
      <c r="D100" s="486" t="s">
        <v>283</v>
      </c>
      <c r="E100" s="487" t="s">
        <v>284</v>
      </c>
      <c r="F100" s="486" t="s">
        <v>285</v>
      </c>
      <c r="G100" s="486" t="s">
        <v>457</v>
      </c>
      <c r="H100" s="487" t="s">
        <v>356</v>
      </c>
      <c r="I100" s="488" t="s">
        <v>356</v>
      </c>
      <c r="J100" s="485" t="s">
        <v>295</v>
      </c>
      <c r="K100" s="489"/>
      <c r="L100" s="487" t="s">
        <v>358</v>
      </c>
      <c r="M100" s="487" t="s">
        <v>364</v>
      </c>
      <c r="N100" s="487" t="s">
        <v>358</v>
      </c>
      <c r="O100" s="487" t="s">
        <v>366</v>
      </c>
      <c r="P100" s="487" t="s">
        <v>286</v>
      </c>
      <c r="Q100" s="124"/>
    </row>
    <row r="101" spans="1:17" ht="13.5" thickBot="1">
      <c r="C101" s="490" t="s">
        <v>177</v>
      </c>
      <c r="D101" s="491" t="s">
        <v>178</v>
      </c>
      <c r="E101" s="490" t="s">
        <v>37</v>
      </c>
      <c r="F101" s="491" t="s">
        <v>178</v>
      </c>
      <c r="G101" s="491" t="s">
        <v>178</v>
      </c>
      <c r="H101" s="492" t="s">
        <v>298</v>
      </c>
      <c r="I101" s="493" t="s">
        <v>300</v>
      </c>
      <c r="J101" s="490" t="s">
        <v>389</v>
      </c>
      <c r="K101" s="494"/>
      <c r="L101" s="492" t="s">
        <v>287</v>
      </c>
      <c r="M101" s="492" t="s">
        <v>287</v>
      </c>
      <c r="N101" s="492" t="s">
        <v>466</v>
      </c>
      <c r="O101" s="492" t="s">
        <v>466</v>
      </c>
      <c r="P101" s="492" t="s">
        <v>466</v>
      </c>
      <c r="Q101" s="130"/>
    </row>
    <row r="102" spans="1:17">
      <c r="C102" s="495">
        <f>IF(D96= "","-",D96)</f>
        <v>2013</v>
      </c>
      <c r="D102" s="459">
        <f>+D95</f>
        <v>1115334.06</v>
      </c>
      <c r="E102" s="496">
        <f>+J99/12*(12-D97)</f>
        <v>3872.6877083333334</v>
      </c>
      <c r="F102" s="539">
        <f t="shared" ref="F102:F133" si="0">+D102-E102</f>
        <v>1111461.3722916667</v>
      </c>
      <c r="G102" s="459">
        <f t="shared" ref="G102:G133" si="1">+(D102+F102)/2</f>
        <v>1113397.7161458335</v>
      </c>
      <c r="H102" s="497">
        <f>+J97*G102+E102</f>
        <v>118290.70169848496</v>
      </c>
      <c r="I102" s="498">
        <f>+J98*G102+E102</f>
        <v>118290.70169848496</v>
      </c>
      <c r="J102" s="499">
        <f t="shared" ref="J102:J133" si="2">+I102-H102</f>
        <v>0</v>
      </c>
      <c r="K102" s="499"/>
      <c r="L102" s="500">
        <v>44166</v>
      </c>
      <c r="M102" s="540">
        <f t="shared" ref="M102:M133" si="3">IF(L102&lt;&gt;0,+H102-L102,0)</f>
        <v>74124.701698484962</v>
      </c>
      <c r="N102" s="500">
        <v>44166</v>
      </c>
      <c r="O102" s="540">
        <f t="shared" ref="O102:O133" si="4">IF(N102&lt;&gt;0,+I102-N102,0)</f>
        <v>74124.701698484962</v>
      </c>
      <c r="P102" s="540">
        <f t="shared" ref="P102:P133" si="5">+O102-M102</f>
        <v>0</v>
      </c>
      <c r="Q102" s="461"/>
    </row>
    <row r="103" spans="1:17">
      <c r="C103" s="495">
        <f>IF(D96="","-",+C102+1)</f>
        <v>2014</v>
      </c>
      <c r="D103" s="459">
        <f t="shared" ref="D103:D134" si="6">F102</f>
        <v>1111461.3722916667</v>
      </c>
      <c r="E103" s="502">
        <f t="shared" ref="E103:E134" si="7">IF(D103&gt;$J$99,$J$99,D103)</f>
        <v>23236.126250000001</v>
      </c>
      <c r="F103" s="502">
        <f t="shared" si="0"/>
        <v>1088225.2460416667</v>
      </c>
      <c r="G103" s="459">
        <f t="shared" si="1"/>
        <v>1099843.3091666666</v>
      </c>
      <c r="H103" s="496">
        <f>+J97*G103+E103</f>
        <v>136261.22528722801</v>
      </c>
      <c r="I103" s="503">
        <f>+J98*G103+E103</f>
        <v>136261.22528722801</v>
      </c>
      <c r="J103" s="499">
        <f t="shared" si="2"/>
        <v>0</v>
      </c>
      <c r="K103" s="499"/>
      <c r="L103" s="504">
        <v>33234</v>
      </c>
      <c r="M103" s="499">
        <f t="shared" si="3"/>
        <v>103027.22528722801</v>
      </c>
      <c r="N103" s="504">
        <v>33234</v>
      </c>
      <c r="O103" s="499">
        <f t="shared" si="4"/>
        <v>103027.22528722801</v>
      </c>
      <c r="P103" s="499">
        <f t="shared" si="5"/>
        <v>0</v>
      </c>
      <c r="Q103" s="461"/>
    </row>
    <row r="104" spans="1:17">
      <c r="C104" s="495">
        <f>IF(D96="","-",+C103+1)</f>
        <v>2015</v>
      </c>
      <c r="D104" s="459">
        <f t="shared" si="6"/>
        <v>1088225.2460416667</v>
      </c>
      <c r="E104" s="502">
        <f t="shared" si="7"/>
        <v>23236.126250000001</v>
      </c>
      <c r="F104" s="502">
        <f t="shared" si="0"/>
        <v>1064989.1197916667</v>
      </c>
      <c r="G104" s="459">
        <f t="shared" si="1"/>
        <v>1076607.1829166668</v>
      </c>
      <c r="H104" s="496">
        <f>+J97*G104+E104</f>
        <v>133873.37108221618</v>
      </c>
      <c r="I104" s="503">
        <f>+J98*G104+E104</f>
        <v>133873.37108221618</v>
      </c>
      <c r="J104" s="499">
        <f t="shared" si="2"/>
        <v>0</v>
      </c>
      <c r="K104" s="499"/>
      <c r="L104" s="504">
        <v>58699</v>
      </c>
      <c r="M104" s="499">
        <f t="shared" si="3"/>
        <v>75174.371082216181</v>
      </c>
      <c r="N104" s="504">
        <v>58699</v>
      </c>
      <c r="O104" s="499">
        <f t="shared" si="4"/>
        <v>75174.371082216181</v>
      </c>
      <c r="P104" s="499">
        <f t="shared" si="5"/>
        <v>0</v>
      </c>
      <c r="Q104" s="461"/>
    </row>
    <row r="105" spans="1:17">
      <c r="C105" s="495">
        <f>IF(D96="","-",+C104+1)</f>
        <v>2016</v>
      </c>
      <c r="D105" s="459">
        <f t="shared" si="6"/>
        <v>1064989.1197916667</v>
      </c>
      <c r="E105" s="502">
        <f t="shared" si="7"/>
        <v>23236.126250000001</v>
      </c>
      <c r="F105" s="502">
        <f t="shared" si="0"/>
        <v>1041752.9935416668</v>
      </c>
      <c r="G105" s="459">
        <f t="shared" si="1"/>
        <v>1053371.0566666666</v>
      </c>
      <c r="H105" s="496">
        <f>+J97*G105+E105</f>
        <v>131485.5168772043</v>
      </c>
      <c r="I105" s="503">
        <f>+J98*G105+E105</f>
        <v>131485.5168772043</v>
      </c>
      <c r="J105" s="499">
        <f t="shared" si="2"/>
        <v>0</v>
      </c>
      <c r="K105" s="499"/>
      <c r="L105" s="504">
        <v>107095</v>
      </c>
      <c r="M105" s="499">
        <f t="shared" si="3"/>
        <v>24390.516877204296</v>
      </c>
      <c r="N105" s="504">
        <v>107095</v>
      </c>
      <c r="O105" s="499">
        <f t="shared" si="4"/>
        <v>24390.516877204296</v>
      </c>
      <c r="P105" s="499">
        <f t="shared" si="5"/>
        <v>0</v>
      </c>
      <c r="Q105" s="461"/>
    </row>
    <row r="106" spans="1:17">
      <c r="C106" s="495">
        <f>IF(D96="","-",+C105+1)</f>
        <v>2017</v>
      </c>
      <c r="D106" s="459">
        <f t="shared" si="6"/>
        <v>1041752.9935416668</v>
      </c>
      <c r="E106" s="502">
        <f t="shared" si="7"/>
        <v>23236.126250000001</v>
      </c>
      <c r="F106" s="502">
        <f t="shared" si="0"/>
        <v>1018516.8672916668</v>
      </c>
      <c r="G106" s="459">
        <f t="shared" si="1"/>
        <v>1030134.9304166668</v>
      </c>
      <c r="H106" s="496">
        <f>+J97*G106+E106</f>
        <v>129097.66267219245</v>
      </c>
      <c r="I106" s="503">
        <f>+J98*G106+E106</f>
        <v>129097.66267219245</v>
      </c>
      <c r="J106" s="499">
        <f t="shared" si="2"/>
        <v>0</v>
      </c>
      <c r="K106" s="499"/>
      <c r="L106" s="504">
        <v>154474</v>
      </c>
      <c r="M106" s="499">
        <f t="shared" si="3"/>
        <v>-25376.337327807545</v>
      </c>
      <c r="N106" s="504">
        <v>154474</v>
      </c>
      <c r="O106" s="499">
        <f t="shared" si="4"/>
        <v>-25376.337327807545</v>
      </c>
      <c r="P106" s="499">
        <f t="shared" si="5"/>
        <v>0</v>
      </c>
      <c r="Q106" s="461"/>
    </row>
    <row r="107" spans="1:17">
      <c r="C107" s="495">
        <f>IF(D96="","-",+C106+1)</f>
        <v>2018</v>
      </c>
      <c r="D107" s="459">
        <f t="shared" si="6"/>
        <v>1018516.8672916668</v>
      </c>
      <c r="E107" s="502">
        <f t="shared" si="7"/>
        <v>23236.126250000001</v>
      </c>
      <c r="F107" s="502">
        <f t="shared" si="0"/>
        <v>995280.74104166683</v>
      </c>
      <c r="G107" s="459">
        <f t="shared" si="1"/>
        <v>1006898.8041666668</v>
      </c>
      <c r="H107" s="496">
        <f>+J97*G107+E107</f>
        <v>126709.8084671806</v>
      </c>
      <c r="I107" s="503">
        <f>+J98*G107+E107</f>
        <v>126709.8084671806</v>
      </c>
      <c r="J107" s="499">
        <f t="shared" si="2"/>
        <v>0</v>
      </c>
      <c r="K107" s="499"/>
      <c r="L107" s="504">
        <v>130159</v>
      </c>
      <c r="M107" s="499">
        <f t="shared" si="3"/>
        <v>-3449.1915328194009</v>
      </c>
      <c r="N107" s="504">
        <v>130159</v>
      </c>
      <c r="O107" s="499">
        <f t="shared" si="4"/>
        <v>-3449.1915328194009</v>
      </c>
      <c r="P107" s="499">
        <f t="shared" si="5"/>
        <v>0</v>
      </c>
      <c r="Q107" s="461"/>
    </row>
    <row r="108" spans="1:17">
      <c r="C108" s="495">
        <f>IF(D96="","-",+C107+1)</f>
        <v>2019</v>
      </c>
      <c r="D108" s="459">
        <f t="shared" si="6"/>
        <v>995280.74104166683</v>
      </c>
      <c r="E108" s="502">
        <f t="shared" si="7"/>
        <v>23236.126250000001</v>
      </c>
      <c r="F108" s="502">
        <f t="shared" si="0"/>
        <v>972044.61479166686</v>
      </c>
      <c r="G108" s="459">
        <f t="shared" si="1"/>
        <v>983662.67791666684</v>
      </c>
      <c r="H108" s="496">
        <f>+J97*G108+E108</f>
        <v>124321.95426216874</v>
      </c>
      <c r="I108" s="503">
        <f>+J98*G108+E108</f>
        <v>124321.95426216874</v>
      </c>
      <c r="J108" s="499">
        <f t="shared" si="2"/>
        <v>0</v>
      </c>
      <c r="K108" s="499"/>
      <c r="L108" s="504">
        <v>131099.94287746924</v>
      </c>
      <c r="M108" s="499">
        <f t="shared" si="3"/>
        <v>-6777.9886153004918</v>
      </c>
      <c r="N108" s="504">
        <v>131099.94287746924</v>
      </c>
      <c r="O108" s="499">
        <f t="shared" si="4"/>
        <v>-6777.9886153004918</v>
      </c>
      <c r="P108" s="499">
        <f t="shared" si="5"/>
        <v>0</v>
      </c>
      <c r="Q108" s="461"/>
    </row>
    <row r="109" spans="1:17">
      <c r="C109" s="495">
        <f>IF(D96="","-",+C108+1)</f>
        <v>2020</v>
      </c>
      <c r="D109" s="459">
        <f t="shared" si="6"/>
        <v>972044.61479166686</v>
      </c>
      <c r="E109" s="502">
        <f t="shared" si="7"/>
        <v>23236.126250000001</v>
      </c>
      <c r="F109" s="502">
        <f t="shared" si="0"/>
        <v>948808.48854166688</v>
      </c>
      <c r="G109" s="459">
        <f t="shared" si="1"/>
        <v>960426.55166666687</v>
      </c>
      <c r="H109" s="496">
        <f>+J97*G109+E109</f>
        <v>121934.10005715689</v>
      </c>
      <c r="I109" s="503">
        <f>+J98*G109+E109</f>
        <v>121934.10005715689</v>
      </c>
      <c r="J109" s="499">
        <f t="shared" si="2"/>
        <v>0</v>
      </c>
      <c r="K109" s="499"/>
      <c r="L109" s="504">
        <v>117846.80334090827</v>
      </c>
      <c r="M109" s="499">
        <f t="shared" si="3"/>
        <v>4087.2967162486166</v>
      </c>
      <c r="N109" s="504">
        <v>117846.80334090827</v>
      </c>
      <c r="O109" s="499">
        <f t="shared" si="4"/>
        <v>4087.2967162486166</v>
      </c>
      <c r="P109" s="499">
        <f t="shared" si="5"/>
        <v>0</v>
      </c>
      <c r="Q109" s="461"/>
    </row>
    <row r="110" spans="1:17">
      <c r="C110" s="495">
        <f>IF(D96="","-",+C109+1)</f>
        <v>2021</v>
      </c>
      <c r="D110" s="459">
        <f t="shared" si="6"/>
        <v>948808.48854166688</v>
      </c>
      <c r="E110" s="502">
        <f t="shared" si="7"/>
        <v>23236.126250000001</v>
      </c>
      <c r="F110" s="502">
        <f t="shared" si="0"/>
        <v>925572.36229166691</v>
      </c>
      <c r="G110" s="459">
        <f t="shared" si="1"/>
        <v>937190.4254166669</v>
      </c>
      <c r="H110" s="496">
        <f>+J97*G110+E110</f>
        <v>119546.24585214503</v>
      </c>
      <c r="I110" s="503">
        <f>+J98*G110+E110</f>
        <v>119546.24585214503</v>
      </c>
      <c r="J110" s="499">
        <f t="shared" si="2"/>
        <v>0</v>
      </c>
      <c r="K110" s="499"/>
      <c r="L110" s="504">
        <v>118221.54112551096</v>
      </c>
      <c r="M110" s="499">
        <f t="shared" si="3"/>
        <v>1324.7047266340669</v>
      </c>
      <c r="N110" s="504">
        <v>118221.54112551096</v>
      </c>
      <c r="O110" s="499">
        <f t="shared" si="4"/>
        <v>1324.7047266340669</v>
      </c>
      <c r="P110" s="499">
        <f t="shared" si="5"/>
        <v>0</v>
      </c>
      <c r="Q110" s="461"/>
    </row>
    <row r="111" spans="1:17">
      <c r="C111" s="495">
        <f>IF(D96="","-",+C110+1)</f>
        <v>2022</v>
      </c>
      <c r="D111" s="459">
        <f t="shared" si="6"/>
        <v>925572.36229166691</v>
      </c>
      <c r="E111" s="502">
        <f t="shared" si="7"/>
        <v>23236.126250000001</v>
      </c>
      <c r="F111" s="502">
        <f t="shared" si="0"/>
        <v>902336.23604166694</v>
      </c>
      <c r="G111" s="459">
        <f t="shared" si="1"/>
        <v>913954.29916666693</v>
      </c>
      <c r="H111" s="496">
        <f>+J97*G111+E111</f>
        <v>117158.39164713318</v>
      </c>
      <c r="I111" s="503">
        <f>+J98*G111+E111</f>
        <v>117158.39164713318</v>
      </c>
      <c r="J111" s="499">
        <f t="shared" si="2"/>
        <v>0</v>
      </c>
      <c r="K111" s="499"/>
      <c r="L111" s="504">
        <v>116396.99706073492</v>
      </c>
      <c r="M111" s="499">
        <f t="shared" si="3"/>
        <v>761.3945863982517</v>
      </c>
      <c r="N111" s="504">
        <v>116396.99706073492</v>
      </c>
      <c r="O111" s="499">
        <f t="shared" si="4"/>
        <v>761.3945863982517</v>
      </c>
      <c r="P111" s="499">
        <f t="shared" si="5"/>
        <v>0</v>
      </c>
      <c r="Q111" s="461"/>
    </row>
    <row r="112" spans="1:17">
      <c r="C112" s="495">
        <f>IF(D96="","-",+C111+1)</f>
        <v>2023</v>
      </c>
      <c r="D112" s="459">
        <f t="shared" si="6"/>
        <v>902336.23604166694</v>
      </c>
      <c r="E112" s="502">
        <f t="shared" si="7"/>
        <v>23236.126250000001</v>
      </c>
      <c r="F112" s="502">
        <f t="shared" si="0"/>
        <v>879100.10979166697</v>
      </c>
      <c r="G112" s="459">
        <f t="shared" si="1"/>
        <v>890718.17291666695</v>
      </c>
      <c r="H112" s="496">
        <f>+J97*G112+E112</f>
        <v>114770.53744212132</v>
      </c>
      <c r="I112" s="503">
        <f>+J98*G112+E112</f>
        <v>114770.53744212132</v>
      </c>
      <c r="J112" s="499">
        <f t="shared" si="2"/>
        <v>0</v>
      </c>
      <c r="K112" s="499"/>
      <c r="L112" s="504">
        <v>110998</v>
      </c>
      <c r="M112" s="499">
        <f t="shared" si="3"/>
        <v>3772.5374421213201</v>
      </c>
      <c r="N112" s="504">
        <v>110998</v>
      </c>
      <c r="O112" s="499">
        <f t="shared" si="4"/>
        <v>3772.5374421213201</v>
      </c>
      <c r="P112" s="499">
        <f t="shared" si="5"/>
        <v>0</v>
      </c>
      <c r="Q112" s="461"/>
    </row>
    <row r="113" spans="3:17">
      <c r="C113" s="495">
        <f>IF(D96="","-",+C112+1)</f>
        <v>2024</v>
      </c>
      <c r="D113" s="459">
        <f t="shared" si="6"/>
        <v>879100.10979166697</v>
      </c>
      <c r="E113" s="502">
        <f t="shared" si="7"/>
        <v>23236.126250000001</v>
      </c>
      <c r="F113" s="502">
        <f t="shared" si="0"/>
        <v>855863.983541667</v>
      </c>
      <c r="G113" s="459">
        <f t="shared" si="1"/>
        <v>867482.04666666698</v>
      </c>
      <c r="H113" s="496">
        <f>+J97*G113+E113</f>
        <v>112382.68323710946</v>
      </c>
      <c r="I113" s="503">
        <f>+J98*G113+E113</f>
        <v>112382.68323710946</v>
      </c>
      <c r="J113" s="499">
        <f t="shared" si="2"/>
        <v>0</v>
      </c>
      <c r="K113" s="499"/>
      <c r="L113" s="504">
        <v>119236.77127751833</v>
      </c>
      <c r="M113" s="499">
        <f t="shared" si="3"/>
        <v>-6854.0880404088675</v>
      </c>
      <c r="N113" s="504">
        <v>119236.77127751833</v>
      </c>
      <c r="O113" s="499">
        <f t="shared" si="4"/>
        <v>-6854.0880404088675</v>
      </c>
      <c r="P113" s="499">
        <f t="shared" si="5"/>
        <v>0</v>
      </c>
      <c r="Q113" s="461"/>
    </row>
    <row r="114" spans="3:17">
      <c r="C114" s="495">
        <f>IF(D96="","-",+C113+1)</f>
        <v>2025</v>
      </c>
      <c r="D114" s="459">
        <f t="shared" si="6"/>
        <v>855863.983541667</v>
      </c>
      <c r="E114" s="502">
        <f t="shared" si="7"/>
        <v>23236.126250000001</v>
      </c>
      <c r="F114" s="502">
        <f t="shared" si="0"/>
        <v>832627.85729166702</v>
      </c>
      <c r="G114" s="459">
        <f t="shared" si="1"/>
        <v>844245.92041666701</v>
      </c>
      <c r="H114" s="496">
        <f>+J97*G114+E114</f>
        <v>109994.82903209761</v>
      </c>
      <c r="I114" s="503">
        <f>+J98*G114+E114</f>
        <v>109994.82903209761</v>
      </c>
      <c r="J114" s="499">
        <f t="shared" si="2"/>
        <v>0</v>
      </c>
      <c r="K114" s="499"/>
      <c r="L114" s="504">
        <v>102097.60806504481</v>
      </c>
      <c r="M114" s="499">
        <f t="shared" si="3"/>
        <v>7897.2209670527955</v>
      </c>
      <c r="N114" s="504">
        <v>102097.60806504481</v>
      </c>
      <c r="O114" s="499">
        <f t="shared" si="4"/>
        <v>7897.2209670527955</v>
      </c>
      <c r="P114" s="499">
        <f t="shared" si="5"/>
        <v>0</v>
      </c>
      <c r="Q114" s="461"/>
    </row>
    <row r="115" spans="3:17">
      <c r="C115" s="495">
        <f>IF(D96="","-",+C114+1)</f>
        <v>2026</v>
      </c>
      <c r="D115" s="459">
        <f t="shared" si="6"/>
        <v>832627.85729166702</v>
      </c>
      <c r="E115" s="502">
        <f t="shared" si="7"/>
        <v>23236.126250000001</v>
      </c>
      <c r="F115" s="502">
        <f t="shared" si="0"/>
        <v>809391.73104166705</v>
      </c>
      <c r="G115" s="459">
        <f t="shared" si="1"/>
        <v>821009.79416666704</v>
      </c>
      <c r="H115" s="496">
        <f>+J97*G115+E115</f>
        <v>107606.97482708574</v>
      </c>
      <c r="I115" s="503">
        <f>+J98*G115+E115</f>
        <v>107606.97482708574</v>
      </c>
      <c r="J115" s="499">
        <f t="shared" si="2"/>
        <v>0</v>
      </c>
      <c r="K115" s="499"/>
      <c r="L115" s="504"/>
      <c r="M115" s="499">
        <f t="shared" si="3"/>
        <v>0</v>
      </c>
      <c r="N115" s="504"/>
      <c r="O115" s="499">
        <f t="shared" si="4"/>
        <v>0</v>
      </c>
      <c r="P115" s="499">
        <f t="shared" si="5"/>
        <v>0</v>
      </c>
      <c r="Q115" s="461"/>
    </row>
    <row r="116" spans="3:17">
      <c r="C116" s="495">
        <f>IF(D96="","-",+C115+1)</f>
        <v>2027</v>
      </c>
      <c r="D116" s="459">
        <f t="shared" si="6"/>
        <v>809391.73104166705</v>
      </c>
      <c r="E116" s="502">
        <f t="shared" si="7"/>
        <v>23236.126250000001</v>
      </c>
      <c r="F116" s="502">
        <f t="shared" si="0"/>
        <v>786155.60479166708</v>
      </c>
      <c r="G116" s="459">
        <f t="shared" si="1"/>
        <v>797773.66791666707</v>
      </c>
      <c r="H116" s="496">
        <f>+J97*G116+E116</f>
        <v>105219.12062207388</v>
      </c>
      <c r="I116" s="503">
        <f>+J98*G116+E116</f>
        <v>105219.12062207388</v>
      </c>
      <c r="J116" s="499">
        <f t="shared" si="2"/>
        <v>0</v>
      </c>
      <c r="K116" s="499"/>
      <c r="L116" s="504"/>
      <c r="M116" s="499">
        <f t="shared" si="3"/>
        <v>0</v>
      </c>
      <c r="N116" s="504"/>
      <c r="O116" s="499">
        <f t="shared" si="4"/>
        <v>0</v>
      </c>
      <c r="P116" s="499">
        <f t="shared" si="5"/>
        <v>0</v>
      </c>
      <c r="Q116" s="461"/>
    </row>
    <row r="117" spans="3:17">
      <c r="C117" s="495">
        <f>IF(D96="","-",+C116+1)</f>
        <v>2028</v>
      </c>
      <c r="D117" s="459">
        <f t="shared" si="6"/>
        <v>786155.60479166708</v>
      </c>
      <c r="E117" s="502">
        <f t="shared" si="7"/>
        <v>23236.126250000001</v>
      </c>
      <c r="F117" s="502">
        <f t="shared" si="0"/>
        <v>762919.47854166711</v>
      </c>
      <c r="G117" s="459">
        <f t="shared" si="1"/>
        <v>774537.54166666709</v>
      </c>
      <c r="H117" s="496">
        <f>+J97*G117+E117</f>
        <v>102831.26641706203</v>
      </c>
      <c r="I117" s="503">
        <f>+J98*G117+E117</f>
        <v>102831.26641706203</v>
      </c>
      <c r="J117" s="499">
        <f t="shared" si="2"/>
        <v>0</v>
      </c>
      <c r="K117" s="499"/>
      <c r="L117" s="504"/>
      <c r="M117" s="499">
        <f t="shared" si="3"/>
        <v>0</v>
      </c>
      <c r="N117" s="504"/>
      <c r="O117" s="499">
        <f t="shared" si="4"/>
        <v>0</v>
      </c>
      <c r="P117" s="499">
        <f t="shared" si="5"/>
        <v>0</v>
      </c>
      <c r="Q117" s="461"/>
    </row>
    <row r="118" spans="3:17">
      <c r="C118" s="495">
        <f>IF(D96="","-",+C117+1)</f>
        <v>2029</v>
      </c>
      <c r="D118" s="459">
        <f t="shared" si="6"/>
        <v>762919.47854166711</v>
      </c>
      <c r="E118" s="502">
        <f t="shared" si="7"/>
        <v>23236.126250000001</v>
      </c>
      <c r="F118" s="502">
        <f t="shared" si="0"/>
        <v>739683.35229166714</v>
      </c>
      <c r="G118" s="459">
        <f t="shared" si="1"/>
        <v>751301.41541666712</v>
      </c>
      <c r="H118" s="496">
        <f>+J97*G118+E118</f>
        <v>100443.41221205017</v>
      </c>
      <c r="I118" s="503">
        <f>+J98*G118+E118</f>
        <v>100443.41221205017</v>
      </c>
      <c r="J118" s="499">
        <f t="shared" si="2"/>
        <v>0</v>
      </c>
      <c r="K118" s="499"/>
      <c r="L118" s="504"/>
      <c r="M118" s="499">
        <f t="shared" si="3"/>
        <v>0</v>
      </c>
      <c r="N118" s="504"/>
      <c r="O118" s="499">
        <f t="shared" si="4"/>
        <v>0</v>
      </c>
      <c r="P118" s="499">
        <f t="shared" si="5"/>
        <v>0</v>
      </c>
      <c r="Q118" s="461"/>
    </row>
    <row r="119" spans="3:17">
      <c r="C119" s="495">
        <f>IF(D96="","-",+C118+1)</f>
        <v>2030</v>
      </c>
      <c r="D119" s="459">
        <f t="shared" si="6"/>
        <v>739683.35229166714</v>
      </c>
      <c r="E119" s="502">
        <f t="shared" si="7"/>
        <v>23236.126250000001</v>
      </c>
      <c r="F119" s="502">
        <f t="shared" si="0"/>
        <v>716447.22604166716</v>
      </c>
      <c r="G119" s="459">
        <f t="shared" si="1"/>
        <v>728065.28916666715</v>
      </c>
      <c r="H119" s="496">
        <f>+J97*G119+E119</f>
        <v>98055.558007038315</v>
      </c>
      <c r="I119" s="503">
        <f>+J98*G119+E119</f>
        <v>98055.558007038315</v>
      </c>
      <c r="J119" s="499">
        <f t="shared" si="2"/>
        <v>0</v>
      </c>
      <c r="K119" s="499"/>
      <c r="L119" s="504"/>
      <c r="M119" s="499">
        <f t="shared" si="3"/>
        <v>0</v>
      </c>
      <c r="N119" s="504"/>
      <c r="O119" s="499">
        <f t="shared" si="4"/>
        <v>0</v>
      </c>
      <c r="P119" s="499">
        <f t="shared" si="5"/>
        <v>0</v>
      </c>
      <c r="Q119" s="461"/>
    </row>
    <row r="120" spans="3:17">
      <c r="C120" s="495">
        <f>IF(D96="","-",+C119+1)</f>
        <v>2031</v>
      </c>
      <c r="D120" s="459">
        <f t="shared" si="6"/>
        <v>716447.22604166716</v>
      </c>
      <c r="E120" s="502">
        <f t="shared" si="7"/>
        <v>23236.126250000001</v>
      </c>
      <c r="F120" s="502">
        <f t="shared" si="0"/>
        <v>693211.09979166719</v>
      </c>
      <c r="G120" s="459">
        <f t="shared" si="1"/>
        <v>704829.16291666718</v>
      </c>
      <c r="H120" s="496">
        <f>+J97*G120+E120</f>
        <v>95667.703802026459</v>
      </c>
      <c r="I120" s="503">
        <f>+J98*G120+E120</f>
        <v>95667.703802026459</v>
      </c>
      <c r="J120" s="499">
        <f t="shared" si="2"/>
        <v>0</v>
      </c>
      <c r="K120" s="499"/>
      <c r="L120" s="504"/>
      <c r="M120" s="499">
        <f t="shared" si="3"/>
        <v>0</v>
      </c>
      <c r="N120" s="504"/>
      <c r="O120" s="499">
        <f t="shared" si="4"/>
        <v>0</v>
      </c>
      <c r="P120" s="499">
        <f t="shared" si="5"/>
        <v>0</v>
      </c>
      <c r="Q120" s="461"/>
    </row>
    <row r="121" spans="3:17">
      <c r="C121" s="495">
        <f>IF(D96="","-",+C120+1)</f>
        <v>2032</v>
      </c>
      <c r="D121" s="459">
        <f t="shared" si="6"/>
        <v>693211.09979166719</v>
      </c>
      <c r="E121" s="502">
        <f t="shared" si="7"/>
        <v>23236.126250000001</v>
      </c>
      <c r="F121" s="502">
        <f t="shared" si="0"/>
        <v>669974.97354166722</v>
      </c>
      <c r="G121" s="459">
        <f t="shared" si="1"/>
        <v>681593.03666666721</v>
      </c>
      <c r="H121" s="496">
        <f>+J97*G121+E121</f>
        <v>93279.849597014603</v>
      </c>
      <c r="I121" s="503">
        <f>+J98*G121+E121</f>
        <v>93279.849597014603</v>
      </c>
      <c r="J121" s="499">
        <f t="shared" si="2"/>
        <v>0</v>
      </c>
      <c r="K121" s="499"/>
      <c r="L121" s="504"/>
      <c r="M121" s="499">
        <f t="shared" si="3"/>
        <v>0</v>
      </c>
      <c r="N121" s="504"/>
      <c r="O121" s="499">
        <f t="shared" si="4"/>
        <v>0</v>
      </c>
      <c r="P121" s="499">
        <f t="shared" si="5"/>
        <v>0</v>
      </c>
      <c r="Q121" s="461"/>
    </row>
    <row r="122" spans="3:17">
      <c r="C122" s="495">
        <f>IF(D96="","-",+C121+1)</f>
        <v>2033</v>
      </c>
      <c r="D122" s="459">
        <f t="shared" si="6"/>
        <v>669974.97354166722</v>
      </c>
      <c r="E122" s="502">
        <f t="shared" si="7"/>
        <v>23236.126250000001</v>
      </c>
      <c r="F122" s="502">
        <f t="shared" si="0"/>
        <v>646738.84729166725</v>
      </c>
      <c r="G122" s="459">
        <f t="shared" si="1"/>
        <v>658356.91041666723</v>
      </c>
      <c r="H122" s="496">
        <f>+J97*G122+E122</f>
        <v>90891.995392002747</v>
      </c>
      <c r="I122" s="503">
        <f>+J98*G122+E122</f>
        <v>90891.995392002747</v>
      </c>
      <c r="J122" s="499">
        <f t="shared" si="2"/>
        <v>0</v>
      </c>
      <c r="K122" s="499"/>
      <c r="L122" s="504"/>
      <c r="M122" s="499">
        <f t="shared" si="3"/>
        <v>0</v>
      </c>
      <c r="N122" s="504"/>
      <c r="O122" s="499">
        <f t="shared" si="4"/>
        <v>0</v>
      </c>
      <c r="P122" s="499">
        <f t="shared" si="5"/>
        <v>0</v>
      </c>
      <c r="Q122" s="461"/>
    </row>
    <row r="123" spans="3:17">
      <c r="C123" s="495">
        <f>IF(D96="","-",+C122+1)</f>
        <v>2034</v>
      </c>
      <c r="D123" s="459">
        <f t="shared" si="6"/>
        <v>646738.84729166725</v>
      </c>
      <c r="E123" s="502">
        <f t="shared" si="7"/>
        <v>23236.126250000001</v>
      </c>
      <c r="F123" s="502">
        <f t="shared" si="0"/>
        <v>623502.72104166728</v>
      </c>
      <c r="G123" s="459">
        <f t="shared" si="1"/>
        <v>635120.78416666726</v>
      </c>
      <c r="H123" s="496">
        <f>+J97*G123+E123</f>
        <v>88504.141186990892</v>
      </c>
      <c r="I123" s="503">
        <f>+J98*G123+E123</f>
        <v>88504.141186990892</v>
      </c>
      <c r="J123" s="499">
        <f t="shared" si="2"/>
        <v>0</v>
      </c>
      <c r="K123" s="499"/>
      <c r="L123" s="504"/>
      <c r="M123" s="499">
        <f t="shared" si="3"/>
        <v>0</v>
      </c>
      <c r="N123" s="504"/>
      <c r="O123" s="499">
        <f t="shared" si="4"/>
        <v>0</v>
      </c>
      <c r="P123" s="499">
        <f t="shared" si="5"/>
        <v>0</v>
      </c>
      <c r="Q123" s="461"/>
    </row>
    <row r="124" spans="3:17">
      <c r="C124" s="495">
        <f>IF(D96="","-",+C123+1)</f>
        <v>2035</v>
      </c>
      <c r="D124" s="459">
        <f t="shared" si="6"/>
        <v>623502.72104166728</v>
      </c>
      <c r="E124" s="502">
        <f t="shared" si="7"/>
        <v>23236.126250000001</v>
      </c>
      <c r="F124" s="502">
        <f t="shared" si="0"/>
        <v>600266.5947916673</v>
      </c>
      <c r="G124" s="459">
        <f t="shared" si="1"/>
        <v>611884.65791666729</v>
      </c>
      <c r="H124" s="496">
        <f>+J97*G124+E124</f>
        <v>86116.286981979036</v>
      </c>
      <c r="I124" s="503">
        <f>+J98*G124+E124</f>
        <v>86116.286981979036</v>
      </c>
      <c r="J124" s="499">
        <f t="shared" si="2"/>
        <v>0</v>
      </c>
      <c r="K124" s="499"/>
      <c r="L124" s="504"/>
      <c r="M124" s="499">
        <f t="shared" si="3"/>
        <v>0</v>
      </c>
      <c r="N124" s="504"/>
      <c r="O124" s="499">
        <f t="shared" si="4"/>
        <v>0</v>
      </c>
      <c r="P124" s="499">
        <f t="shared" si="5"/>
        <v>0</v>
      </c>
      <c r="Q124" s="461"/>
    </row>
    <row r="125" spans="3:17">
      <c r="C125" s="495">
        <f>IF(D96="","-",+C124+1)</f>
        <v>2036</v>
      </c>
      <c r="D125" s="459">
        <f t="shared" si="6"/>
        <v>600266.5947916673</v>
      </c>
      <c r="E125" s="502">
        <f t="shared" si="7"/>
        <v>23236.126250000001</v>
      </c>
      <c r="F125" s="502">
        <f t="shared" si="0"/>
        <v>577030.46854166733</v>
      </c>
      <c r="G125" s="459">
        <f t="shared" si="1"/>
        <v>588648.53166666732</v>
      </c>
      <c r="H125" s="496">
        <f>+J97*G125+E125</f>
        <v>83728.43277696718</v>
      </c>
      <c r="I125" s="503">
        <f>+J98*G125+E125</f>
        <v>83728.43277696718</v>
      </c>
      <c r="J125" s="499">
        <f t="shared" si="2"/>
        <v>0</v>
      </c>
      <c r="K125" s="499"/>
      <c r="L125" s="504"/>
      <c r="M125" s="499">
        <f t="shared" si="3"/>
        <v>0</v>
      </c>
      <c r="N125" s="504"/>
      <c r="O125" s="499">
        <f t="shared" si="4"/>
        <v>0</v>
      </c>
      <c r="P125" s="499">
        <f t="shared" si="5"/>
        <v>0</v>
      </c>
      <c r="Q125" s="461"/>
    </row>
    <row r="126" spans="3:17">
      <c r="C126" s="495">
        <f>IF(D96="","-",+C125+1)</f>
        <v>2037</v>
      </c>
      <c r="D126" s="459">
        <f t="shared" si="6"/>
        <v>577030.46854166733</v>
      </c>
      <c r="E126" s="502">
        <f t="shared" si="7"/>
        <v>23236.126250000001</v>
      </c>
      <c r="F126" s="502">
        <f t="shared" si="0"/>
        <v>553794.34229166736</v>
      </c>
      <c r="G126" s="459">
        <f t="shared" si="1"/>
        <v>565412.40541666734</v>
      </c>
      <c r="H126" s="496">
        <f>+J97*G126+E126</f>
        <v>81340.578571955324</v>
      </c>
      <c r="I126" s="503">
        <f>+J98*G126+E126</f>
        <v>81340.578571955324</v>
      </c>
      <c r="J126" s="499">
        <f t="shared" si="2"/>
        <v>0</v>
      </c>
      <c r="K126" s="499"/>
      <c r="L126" s="504"/>
      <c r="M126" s="499">
        <f t="shared" si="3"/>
        <v>0</v>
      </c>
      <c r="N126" s="504"/>
      <c r="O126" s="499">
        <f t="shared" si="4"/>
        <v>0</v>
      </c>
      <c r="P126" s="499">
        <f t="shared" si="5"/>
        <v>0</v>
      </c>
      <c r="Q126" s="461"/>
    </row>
    <row r="127" spans="3:17">
      <c r="C127" s="495">
        <f>IF(D96="","-",+C126+1)</f>
        <v>2038</v>
      </c>
      <c r="D127" s="459">
        <f t="shared" si="6"/>
        <v>553794.34229166736</v>
      </c>
      <c r="E127" s="502">
        <f t="shared" si="7"/>
        <v>23236.126250000001</v>
      </c>
      <c r="F127" s="502">
        <f t="shared" si="0"/>
        <v>530558.21604166739</v>
      </c>
      <c r="G127" s="459">
        <f t="shared" si="1"/>
        <v>542176.27916666737</v>
      </c>
      <c r="H127" s="496">
        <f>+J97*G127+E127</f>
        <v>78952.724366943468</v>
      </c>
      <c r="I127" s="503">
        <f>+J98*G127+E127</f>
        <v>78952.724366943468</v>
      </c>
      <c r="J127" s="499">
        <f t="shared" si="2"/>
        <v>0</v>
      </c>
      <c r="K127" s="499"/>
      <c r="L127" s="504"/>
      <c r="M127" s="499">
        <f t="shared" si="3"/>
        <v>0</v>
      </c>
      <c r="N127" s="504"/>
      <c r="O127" s="499">
        <f t="shared" si="4"/>
        <v>0</v>
      </c>
      <c r="P127" s="499">
        <f t="shared" si="5"/>
        <v>0</v>
      </c>
      <c r="Q127" s="461"/>
    </row>
    <row r="128" spans="3:17">
      <c r="C128" s="495">
        <f>IF(D96="","-",+C127+1)</f>
        <v>2039</v>
      </c>
      <c r="D128" s="459">
        <f t="shared" si="6"/>
        <v>530558.21604166739</v>
      </c>
      <c r="E128" s="502">
        <f t="shared" si="7"/>
        <v>23236.126250000001</v>
      </c>
      <c r="F128" s="502">
        <f t="shared" si="0"/>
        <v>507322.08979166741</v>
      </c>
      <c r="G128" s="459">
        <f t="shared" si="1"/>
        <v>518940.1529166674</v>
      </c>
      <c r="H128" s="496">
        <f>+J97*G128+E128</f>
        <v>76564.870161931613</v>
      </c>
      <c r="I128" s="503">
        <f>+J98*G128+E128</f>
        <v>76564.870161931613</v>
      </c>
      <c r="J128" s="499">
        <f t="shared" si="2"/>
        <v>0</v>
      </c>
      <c r="K128" s="499"/>
      <c r="L128" s="504"/>
      <c r="M128" s="499">
        <f t="shared" si="3"/>
        <v>0</v>
      </c>
      <c r="N128" s="504"/>
      <c r="O128" s="499">
        <f t="shared" si="4"/>
        <v>0</v>
      </c>
      <c r="P128" s="499">
        <f t="shared" si="5"/>
        <v>0</v>
      </c>
      <c r="Q128" s="461"/>
    </row>
    <row r="129" spans="3:17">
      <c r="C129" s="495">
        <f>IF(D96="","-",+C128+1)</f>
        <v>2040</v>
      </c>
      <c r="D129" s="459">
        <f t="shared" si="6"/>
        <v>507322.08979166741</v>
      </c>
      <c r="E129" s="502">
        <f t="shared" si="7"/>
        <v>23236.126250000001</v>
      </c>
      <c r="F129" s="502">
        <f t="shared" si="0"/>
        <v>484085.96354166744</v>
      </c>
      <c r="G129" s="459">
        <f t="shared" si="1"/>
        <v>495704.02666666743</v>
      </c>
      <c r="H129" s="496">
        <f>+J97*G129+E129</f>
        <v>74177.015956919757</v>
      </c>
      <c r="I129" s="503">
        <f>+J98*G129+E129</f>
        <v>74177.015956919757</v>
      </c>
      <c r="J129" s="499">
        <f t="shared" si="2"/>
        <v>0</v>
      </c>
      <c r="K129" s="499"/>
      <c r="L129" s="504"/>
      <c r="M129" s="499">
        <f t="shared" si="3"/>
        <v>0</v>
      </c>
      <c r="N129" s="504"/>
      <c r="O129" s="499">
        <f t="shared" si="4"/>
        <v>0</v>
      </c>
      <c r="P129" s="499">
        <f t="shared" si="5"/>
        <v>0</v>
      </c>
      <c r="Q129" s="461"/>
    </row>
    <row r="130" spans="3:17">
      <c r="C130" s="495">
        <f>IF(D96="","-",+C129+1)</f>
        <v>2041</v>
      </c>
      <c r="D130" s="459">
        <f t="shared" si="6"/>
        <v>484085.96354166744</v>
      </c>
      <c r="E130" s="502">
        <f t="shared" si="7"/>
        <v>23236.126250000001</v>
      </c>
      <c r="F130" s="502">
        <f t="shared" si="0"/>
        <v>460849.83729166747</v>
      </c>
      <c r="G130" s="459">
        <f t="shared" si="1"/>
        <v>472467.90041666746</v>
      </c>
      <c r="H130" s="496">
        <f>+J97*G130+E130</f>
        <v>71789.161751907901</v>
      </c>
      <c r="I130" s="503">
        <f>+J98*G130+E130</f>
        <v>71789.161751907901</v>
      </c>
      <c r="J130" s="499">
        <f t="shared" si="2"/>
        <v>0</v>
      </c>
      <c r="K130" s="499"/>
      <c r="L130" s="504"/>
      <c r="M130" s="499">
        <f t="shared" si="3"/>
        <v>0</v>
      </c>
      <c r="N130" s="504"/>
      <c r="O130" s="499">
        <f t="shared" si="4"/>
        <v>0</v>
      </c>
      <c r="P130" s="499">
        <f t="shared" si="5"/>
        <v>0</v>
      </c>
      <c r="Q130" s="461"/>
    </row>
    <row r="131" spans="3:17">
      <c r="C131" s="495">
        <f>IF(D96="","-",+C130+1)</f>
        <v>2042</v>
      </c>
      <c r="D131" s="459">
        <f t="shared" si="6"/>
        <v>460849.83729166747</v>
      </c>
      <c r="E131" s="502">
        <f t="shared" si="7"/>
        <v>23236.126250000001</v>
      </c>
      <c r="F131" s="502">
        <f t="shared" si="0"/>
        <v>437613.7110416675</v>
      </c>
      <c r="G131" s="459">
        <f t="shared" si="1"/>
        <v>449231.77416666748</v>
      </c>
      <c r="H131" s="496">
        <f>+J97*G131+E131</f>
        <v>69401.307546896045</v>
      </c>
      <c r="I131" s="503">
        <f>+J98*G131+E131</f>
        <v>69401.307546896045</v>
      </c>
      <c r="J131" s="499">
        <f t="shared" si="2"/>
        <v>0</v>
      </c>
      <c r="K131" s="499"/>
      <c r="L131" s="504"/>
      <c r="M131" s="499">
        <f t="shared" si="3"/>
        <v>0</v>
      </c>
      <c r="N131" s="504"/>
      <c r="O131" s="499">
        <f t="shared" si="4"/>
        <v>0</v>
      </c>
      <c r="P131" s="499">
        <f t="shared" si="5"/>
        <v>0</v>
      </c>
      <c r="Q131" s="461"/>
    </row>
    <row r="132" spans="3:17">
      <c r="C132" s="495">
        <f>IF(D96="","-",+C131+1)</f>
        <v>2043</v>
      </c>
      <c r="D132" s="459">
        <f t="shared" si="6"/>
        <v>437613.7110416675</v>
      </c>
      <c r="E132" s="502">
        <f t="shared" si="7"/>
        <v>23236.126250000001</v>
      </c>
      <c r="F132" s="502">
        <f t="shared" si="0"/>
        <v>414377.58479166753</v>
      </c>
      <c r="G132" s="459">
        <f t="shared" si="1"/>
        <v>425995.64791666751</v>
      </c>
      <c r="H132" s="496">
        <f>+J97*G132+E132</f>
        <v>67013.453341884189</v>
      </c>
      <c r="I132" s="503">
        <f>+J98*G132+E132</f>
        <v>67013.453341884189</v>
      </c>
      <c r="J132" s="499">
        <f t="shared" si="2"/>
        <v>0</v>
      </c>
      <c r="K132" s="499"/>
      <c r="L132" s="504"/>
      <c r="M132" s="499">
        <f t="shared" si="3"/>
        <v>0</v>
      </c>
      <c r="N132" s="504"/>
      <c r="O132" s="499">
        <f t="shared" si="4"/>
        <v>0</v>
      </c>
      <c r="P132" s="499">
        <f t="shared" si="5"/>
        <v>0</v>
      </c>
      <c r="Q132" s="461"/>
    </row>
    <row r="133" spans="3:17">
      <c r="C133" s="495">
        <f>IF(D96="","-",+C132+1)</f>
        <v>2044</v>
      </c>
      <c r="D133" s="459">
        <f t="shared" si="6"/>
        <v>414377.58479166753</v>
      </c>
      <c r="E133" s="502">
        <f t="shared" si="7"/>
        <v>23236.126250000001</v>
      </c>
      <c r="F133" s="502">
        <f t="shared" si="0"/>
        <v>391141.45854166755</v>
      </c>
      <c r="G133" s="459">
        <f t="shared" si="1"/>
        <v>402759.52166666754</v>
      </c>
      <c r="H133" s="496">
        <f>+J97*G133+E133</f>
        <v>64625.599136872326</v>
      </c>
      <c r="I133" s="503">
        <f>+J98*G133+E133</f>
        <v>64625.599136872326</v>
      </c>
      <c r="J133" s="499">
        <f t="shared" si="2"/>
        <v>0</v>
      </c>
      <c r="K133" s="499"/>
      <c r="L133" s="504"/>
      <c r="M133" s="499">
        <f t="shared" si="3"/>
        <v>0</v>
      </c>
      <c r="N133" s="504"/>
      <c r="O133" s="499">
        <f t="shared" si="4"/>
        <v>0</v>
      </c>
      <c r="P133" s="499">
        <f t="shared" si="5"/>
        <v>0</v>
      </c>
      <c r="Q133" s="461"/>
    </row>
    <row r="134" spans="3:17">
      <c r="C134" s="495">
        <f>IF(D96="","-",+C133+1)</f>
        <v>2045</v>
      </c>
      <c r="D134" s="459">
        <f t="shared" si="6"/>
        <v>391141.45854166755</v>
      </c>
      <c r="E134" s="502">
        <f t="shared" si="7"/>
        <v>23236.126250000001</v>
      </c>
      <c r="F134" s="502">
        <f t="shared" ref="F134:F161" si="8">+D134-E134</f>
        <v>367905.33229166758</v>
      </c>
      <c r="G134" s="459">
        <f t="shared" ref="G134:G161" si="9">+(D134+F134)/2</f>
        <v>379523.39541666757</v>
      </c>
      <c r="H134" s="496">
        <f>+J97*G134+E134</f>
        <v>62237.74493186047</v>
      </c>
      <c r="I134" s="503">
        <f>+J98*G134+E134</f>
        <v>62237.74493186047</v>
      </c>
      <c r="J134" s="499">
        <f t="shared" ref="J134:J161" si="10">+I134-H134</f>
        <v>0</v>
      </c>
      <c r="K134" s="499"/>
      <c r="L134" s="504"/>
      <c r="M134" s="499">
        <f t="shared" ref="M134:M161" si="11">IF(L134&lt;&gt;0,+H134-L134,0)</f>
        <v>0</v>
      </c>
      <c r="N134" s="504"/>
      <c r="O134" s="499">
        <f t="shared" ref="O134:O161" si="12">IF(N134&lt;&gt;0,+I134-N134,0)</f>
        <v>0</v>
      </c>
      <c r="P134" s="499">
        <f t="shared" ref="P134:P161" si="13">+O134-M134</f>
        <v>0</v>
      </c>
      <c r="Q134" s="461"/>
    </row>
    <row r="135" spans="3:17">
      <c r="C135" s="495">
        <f>IF(D96="","-",+C134+1)</f>
        <v>2046</v>
      </c>
      <c r="D135" s="459">
        <f t="shared" ref="D135:D161" si="14">F134</f>
        <v>367905.33229166758</v>
      </c>
      <c r="E135" s="502">
        <f t="shared" ref="E135:E161" si="15">IF(D135&gt;$J$99,$J$99,D135)</f>
        <v>23236.126250000001</v>
      </c>
      <c r="F135" s="502">
        <f t="shared" si="8"/>
        <v>344669.20604166761</v>
      </c>
      <c r="G135" s="459">
        <f t="shared" si="9"/>
        <v>356287.2691666676</v>
      </c>
      <c r="H135" s="496">
        <f>+J97*G135+E135</f>
        <v>59849.890726848607</v>
      </c>
      <c r="I135" s="503">
        <f>+J98*G135+E135</f>
        <v>59849.890726848607</v>
      </c>
      <c r="J135" s="499">
        <f t="shared" si="10"/>
        <v>0</v>
      </c>
      <c r="K135" s="499"/>
      <c r="L135" s="504"/>
      <c r="M135" s="499">
        <f t="shared" si="11"/>
        <v>0</v>
      </c>
      <c r="N135" s="504"/>
      <c r="O135" s="499">
        <f t="shared" si="12"/>
        <v>0</v>
      </c>
      <c r="P135" s="499">
        <f t="shared" si="13"/>
        <v>0</v>
      </c>
      <c r="Q135" s="461"/>
    </row>
    <row r="136" spans="3:17">
      <c r="C136" s="495">
        <f>IF(D96="","-",+C135+1)</f>
        <v>2047</v>
      </c>
      <c r="D136" s="459">
        <f t="shared" si="14"/>
        <v>344669.20604166761</v>
      </c>
      <c r="E136" s="502">
        <f t="shared" si="15"/>
        <v>23236.126250000001</v>
      </c>
      <c r="F136" s="502">
        <f t="shared" si="8"/>
        <v>321433.07979166764</v>
      </c>
      <c r="G136" s="459">
        <f t="shared" si="9"/>
        <v>333051.14291666762</v>
      </c>
      <c r="H136" s="496">
        <f>+J97*G136+E136</f>
        <v>57462.036521836751</v>
      </c>
      <c r="I136" s="503">
        <f>+J98*G136+E136</f>
        <v>57462.036521836751</v>
      </c>
      <c r="J136" s="499">
        <f t="shared" si="10"/>
        <v>0</v>
      </c>
      <c r="K136" s="499"/>
      <c r="L136" s="504"/>
      <c r="M136" s="499">
        <f t="shared" si="11"/>
        <v>0</v>
      </c>
      <c r="N136" s="504"/>
      <c r="O136" s="499">
        <f t="shared" si="12"/>
        <v>0</v>
      </c>
      <c r="P136" s="499">
        <f t="shared" si="13"/>
        <v>0</v>
      </c>
      <c r="Q136" s="461"/>
    </row>
    <row r="137" spans="3:17">
      <c r="C137" s="495">
        <f>IF(D96="","-",+C136+1)</f>
        <v>2048</v>
      </c>
      <c r="D137" s="459">
        <f t="shared" si="14"/>
        <v>321433.07979166764</v>
      </c>
      <c r="E137" s="502">
        <f t="shared" si="15"/>
        <v>23236.126250000001</v>
      </c>
      <c r="F137" s="502">
        <f t="shared" si="8"/>
        <v>298196.95354166767</v>
      </c>
      <c r="G137" s="459">
        <f t="shared" si="9"/>
        <v>309815.01666666765</v>
      </c>
      <c r="H137" s="496">
        <f>+J97*G137+E137</f>
        <v>55074.182316824896</v>
      </c>
      <c r="I137" s="503">
        <f>+J98*G137+E137</f>
        <v>55074.182316824896</v>
      </c>
      <c r="J137" s="499">
        <f t="shared" si="10"/>
        <v>0</v>
      </c>
      <c r="K137" s="499"/>
      <c r="L137" s="504"/>
      <c r="M137" s="499">
        <f t="shared" si="11"/>
        <v>0</v>
      </c>
      <c r="N137" s="504"/>
      <c r="O137" s="499">
        <f t="shared" si="12"/>
        <v>0</v>
      </c>
      <c r="P137" s="499">
        <f t="shared" si="13"/>
        <v>0</v>
      </c>
      <c r="Q137" s="461"/>
    </row>
    <row r="138" spans="3:17">
      <c r="C138" s="495">
        <f>IF(D96="","-",+C137+1)</f>
        <v>2049</v>
      </c>
      <c r="D138" s="459">
        <f t="shared" si="14"/>
        <v>298196.95354166767</v>
      </c>
      <c r="E138" s="502">
        <f t="shared" si="15"/>
        <v>23236.126250000001</v>
      </c>
      <c r="F138" s="502">
        <f t="shared" si="8"/>
        <v>274960.82729166769</v>
      </c>
      <c r="G138" s="459">
        <f t="shared" si="9"/>
        <v>286578.89041666768</v>
      </c>
      <c r="H138" s="496">
        <f>+J97*G138+E138</f>
        <v>52686.32811181304</v>
      </c>
      <c r="I138" s="503">
        <f>+J98*G138+E138</f>
        <v>52686.32811181304</v>
      </c>
      <c r="J138" s="499">
        <f t="shared" si="10"/>
        <v>0</v>
      </c>
      <c r="K138" s="499"/>
      <c r="L138" s="504"/>
      <c r="M138" s="499">
        <f t="shared" si="11"/>
        <v>0</v>
      </c>
      <c r="N138" s="504"/>
      <c r="O138" s="499">
        <f t="shared" si="12"/>
        <v>0</v>
      </c>
      <c r="P138" s="499">
        <f t="shared" si="13"/>
        <v>0</v>
      </c>
      <c r="Q138" s="461"/>
    </row>
    <row r="139" spans="3:17">
      <c r="C139" s="495">
        <f>IF(D96="","-",+C138+1)</f>
        <v>2050</v>
      </c>
      <c r="D139" s="459">
        <f t="shared" si="14"/>
        <v>274960.82729166769</v>
      </c>
      <c r="E139" s="502">
        <f t="shared" si="15"/>
        <v>23236.126250000001</v>
      </c>
      <c r="F139" s="502">
        <f t="shared" si="8"/>
        <v>251724.70104166769</v>
      </c>
      <c r="G139" s="459">
        <f t="shared" si="9"/>
        <v>263342.76416666771</v>
      </c>
      <c r="H139" s="496">
        <f>+J97*G139+E139</f>
        <v>50298.473906801184</v>
      </c>
      <c r="I139" s="503">
        <f>+J98*G139+E139</f>
        <v>50298.473906801184</v>
      </c>
      <c r="J139" s="499">
        <f t="shared" si="10"/>
        <v>0</v>
      </c>
      <c r="K139" s="499"/>
      <c r="L139" s="504"/>
      <c r="M139" s="499">
        <f t="shared" si="11"/>
        <v>0</v>
      </c>
      <c r="N139" s="504"/>
      <c r="O139" s="499">
        <f t="shared" si="12"/>
        <v>0</v>
      </c>
      <c r="P139" s="499">
        <f t="shared" si="13"/>
        <v>0</v>
      </c>
      <c r="Q139" s="461"/>
    </row>
    <row r="140" spans="3:17">
      <c r="C140" s="495">
        <f>IF(D96="","-",+C139+1)</f>
        <v>2051</v>
      </c>
      <c r="D140" s="459">
        <f t="shared" si="14"/>
        <v>251724.70104166769</v>
      </c>
      <c r="E140" s="502">
        <f t="shared" si="15"/>
        <v>23236.126250000001</v>
      </c>
      <c r="F140" s="502">
        <f t="shared" si="8"/>
        <v>228488.57479166769</v>
      </c>
      <c r="G140" s="459">
        <f t="shared" si="9"/>
        <v>240106.63791666768</v>
      </c>
      <c r="H140" s="496">
        <f>+J97*G140+E140</f>
        <v>47910.619701789321</v>
      </c>
      <c r="I140" s="503">
        <f>+J98*G140+E140</f>
        <v>47910.619701789321</v>
      </c>
      <c r="J140" s="499">
        <f t="shared" si="10"/>
        <v>0</v>
      </c>
      <c r="K140" s="499"/>
      <c r="L140" s="504"/>
      <c r="M140" s="499">
        <f t="shared" si="11"/>
        <v>0</v>
      </c>
      <c r="N140" s="504"/>
      <c r="O140" s="499">
        <f t="shared" si="12"/>
        <v>0</v>
      </c>
      <c r="P140" s="499">
        <f t="shared" si="13"/>
        <v>0</v>
      </c>
      <c r="Q140" s="461"/>
    </row>
    <row r="141" spans="3:17">
      <c r="C141" s="495">
        <f>IF(D96="","-",+C140+1)</f>
        <v>2052</v>
      </c>
      <c r="D141" s="459">
        <f t="shared" si="14"/>
        <v>228488.57479166769</v>
      </c>
      <c r="E141" s="502">
        <f t="shared" si="15"/>
        <v>23236.126250000001</v>
      </c>
      <c r="F141" s="502">
        <f t="shared" si="8"/>
        <v>205252.44854166769</v>
      </c>
      <c r="G141" s="459">
        <f t="shared" si="9"/>
        <v>216870.51166666771</v>
      </c>
      <c r="H141" s="496">
        <f>+J97*G141+E141</f>
        <v>45522.765496777465</v>
      </c>
      <c r="I141" s="503">
        <f>+J98*G141+E141</f>
        <v>45522.765496777465</v>
      </c>
      <c r="J141" s="499">
        <f t="shared" si="10"/>
        <v>0</v>
      </c>
      <c r="K141" s="499"/>
      <c r="L141" s="504"/>
      <c r="M141" s="499">
        <f t="shared" si="11"/>
        <v>0</v>
      </c>
      <c r="N141" s="504"/>
      <c r="O141" s="499">
        <f t="shared" si="12"/>
        <v>0</v>
      </c>
      <c r="P141" s="499">
        <f t="shared" si="13"/>
        <v>0</v>
      </c>
      <c r="Q141" s="461"/>
    </row>
    <row r="142" spans="3:17">
      <c r="C142" s="495">
        <f>IF(D96="","-",+C141+1)</f>
        <v>2053</v>
      </c>
      <c r="D142" s="459">
        <f t="shared" si="14"/>
        <v>205252.44854166769</v>
      </c>
      <c r="E142" s="502">
        <f t="shared" si="15"/>
        <v>23236.126250000001</v>
      </c>
      <c r="F142" s="502">
        <f t="shared" si="8"/>
        <v>182016.32229166769</v>
      </c>
      <c r="G142" s="459">
        <f t="shared" si="9"/>
        <v>193634.38541666768</v>
      </c>
      <c r="H142" s="496">
        <f>+J97*G142+E142</f>
        <v>43134.911291765602</v>
      </c>
      <c r="I142" s="503">
        <f>+J98*G142+E142</f>
        <v>43134.911291765602</v>
      </c>
      <c r="J142" s="499">
        <f t="shared" si="10"/>
        <v>0</v>
      </c>
      <c r="K142" s="499"/>
      <c r="L142" s="504"/>
      <c r="M142" s="499">
        <f t="shared" si="11"/>
        <v>0</v>
      </c>
      <c r="N142" s="504"/>
      <c r="O142" s="499">
        <f t="shared" si="12"/>
        <v>0</v>
      </c>
      <c r="P142" s="499">
        <f t="shared" si="13"/>
        <v>0</v>
      </c>
      <c r="Q142" s="461"/>
    </row>
    <row r="143" spans="3:17">
      <c r="C143" s="495">
        <f>IF(D96="","-",+C142+1)</f>
        <v>2054</v>
      </c>
      <c r="D143" s="459">
        <f t="shared" si="14"/>
        <v>182016.32229166769</v>
      </c>
      <c r="E143" s="502">
        <f t="shared" si="15"/>
        <v>23236.126250000001</v>
      </c>
      <c r="F143" s="502">
        <f t="shared" si="8"/>
        <v>158780.19604166769</v>
      </c>
      <c r="G143" s="459">
        <f t="shared" si="9"/>
        <v>170398.2591666677</v>
      </c>
      <c r="H143" s="496">
        <f>+J97*G143+E143</f>
        <v>40747.057086753746</v>
      </c>
      <c r="I143" s="503">
        <f>+J98*G143+E143</f>
        <v>40747.057086753746</v>
      </c>
      <c r="J143" s="499">
        <f t="shared" si="10"/>
        <v>0</v>
      </c>
      <c r="K143" s="499"/>
      <c r="L143" s="504"/>
      <c r="M143" s="499">
        <f t="shared" si="11"/>
        <v>0</v>
      </c>
      <c r="N143" s="504"/>
      <c r="O143" s="499">
        <f t="shared" si="12"/>
        <v>0</v>
      </c>
      <c r="P143" s="499">
        <f t="shared" si="13"/>
        <v>0</v>
      </c>
      <c r="Q143" s="461"/>
    </row>
    <row r="144" spans="3:17">
      <c r="C144" s="495">
        <f>IF(D96="","-",+C143+1)</f>
        <v>2055</v>
      </c>
      <c r="D144" s="459">
        <f t="shared" si="14"/>
        <v>158780.19604166769</v>
      </c>
      <c r="E144" s="502">
        <f t="shared" si="15"/>
        <v>23236.126250000001</v>
      </c>
      <c r="F144" s="502">
        <f t="shared" si="8"/>
        <v>135544.06979166769</v>
      </c>
      <c r="G144" s="459">
        <f t="shared" si="9"/>
        <v>147162.13291666767</v>
      </c>
      <c r="H144" s="496">
        <f>+J97*G144+E144</f>
        <v>38359.202881741883</v>
      </c>
      <c r="I144" s="503">
        <f>+J98*G144+E144</f>
        <v>38359.202881741883</v>
      </c>
      <c r="J144" s="499">
        <f t="shared" si="10"/>
        <v>0</v>
      </c>
      <c r="K144" s="499"/>
      <c r="L144" s="504"/>
      <c r="M144" s="499">
        <f t="shared" si="11"/>
        <v>0</v>
      </c>
      <c r="N144" s="504"/>
      <c r="O144" s="499">
        <f t="shared" si="12"/>
        <v>0</v>
      </c>
      <c r="P144" s="499">
        <f t="shared" si="13"/>
        <v>0</v>
      </c>
      <c r="Q144" s="461"/>
    </row>
    <row r="145" spans="3:17">
      <c r="C145" s="495">
        <f>IF(D96="","-",+C144+1)</f>
        <v>2056</v>
      </c>
      <c r="D145" s="459">
        <f t="shared" si="14"/>
        <v>135544.06979166769</v>
      </c>
      <c r="E145" s="502">
        <f t="shared" si="15"/>
        <v>23236.126250000001</v>
      </c>
      <c r="F145" s="502">
        <f t="shared" si="8"/>
        <v>112307.94354166769</v>
      </c>
      <c r="G145" s="459">
        <f t="shared" si="9"/>
        <v>123926.00666666769</v>
      </c>
      <c r="H145" s="496">
        <f>+J97*G145+E145</f>
        <v>35971.34867673002</v>
      </c>
      <c r="I145" s="503">
        <f>+J98*G145+E145</f>
        <v>35971.34867673002</v>
      </c>
      <c r="J145" s="499">
        <f t="shared" si="10"/>
        <v>0</v>
      </c>
      <c r="K145" s="499"/>
      <c r="L145" s="504"/>
      <c r="M145" s="499">
        <f t="shared" si="11"/>
        <v>0</v>
      </c>
      <c r="N145" s="504"/>
      <c r="O145" s="499">
        <f t="shared" si="12"/>
        <v>0</v>
      </c>
      <c r="P145" s="499">
        <f t="shared" si="13"/>
        <v>0</v>
      </c>
      <c r="Q145" s="461"/>
    </row>
    <row r="146" spans="3:17">
      <c r="C146" s="495">
        <f>IF(D96="","-",+C145+1)</f>
        <v>2057</v>
      </c>
      <c r="D146" s="459">
        <f t="shared" si="14"/>
        <v>112307.94354166769</v>
      </c>
      <c r="E146" s="502">
        <f t="shared" si="15"/>
        <v>23236.126250000001</v>
      </c>
      <c r="F146" s="502">
        <f t="shared" si="8"/>
        <v>89071.817291667685</v>
      </c>
      <c r="G146" s="459">
        <f t="shared" si="9"/>
        <v>100689.88041666769</v>
      </c>
      <c r="H146" s="496">
        <f>+J97*G146+E146</f>
        <v>33583.494471718164</v>
      </c>
      <c r="I146" s="503">
        <f>+J98*G146+E146</f>
        <v>33583.494471718164</v>
      </c>
      <c r="J146" s="499">
        <f t="shared" si="10"/>
        <v>0</v>
      </c>
      <c r="K146" s="499"/>
      <c r="L146" s="504"/>
      <c r="M146" s="499">
        <f t="shared" si="11"/>
        <v>0</v>
      </c>
      <c r="N146" s="504"/>
      <c r="O146" s="499">
        <f t="shared" si="12"/>
        <v>0</v>
      </c>
      <c r="P146" s="499">
        <f t="shared" si="13"/>
        <v>0</v>
      </c>
      <c r="Q146" s="461"/>
    </row>
    <row r="147" spans="3:17">
      <c r="C147" s="495">
        <f>IF(D96="","-",+C146+1)</f>
        <v>2058</v>
      </c>
      <c r="D147" s="459">
        <f t="shared" si="14"/>
        <v>89071.817291667685</v>
      </c>
      <c r="E147" s="502">
        <f t="shared" si="15"/>
        <v>23236.126250000001</v>
      </c>
      <c r="F147" s="502">
        <f t="shared" si="8"/>
        <v>65835.691041667684</v>
      </c>
      <c r="G147" s="459">
        <f t="shared" si="9"/>
        <v>77453.754166667684</v>
      </c>
      <c r="H147" s="496">
        <f>+J97*G147+E147</f>
        <v>31195.640266706305</v>
      </c>
      <c r="I147" s="503">
        <f>+J98*G147+E147</f>
        <v>31195.640266706305</v>
      </c>
      <c r="J147" s="499">
        <f t="shared" si="10"/>
        <v>0</v>
      </c>
      <c r="K147" s="499"/>
      <c r="L147" s="504"/>
      <c r="M147" s="499">
        <f t="shared" si="11"/>
        <v>0</v>
      </c>
      <c r="N147" s="504"/>
      <c r="O147" s="499">
        <f t="shared" si="12"/>
        <v>0</v>
      </c>
      <c r="P147" s="499">
        <f t="shared" si="13"/>
        <v>0</v>
      </c>
      <c r="Q147" s="461"/>
    </row>
    <row r="148" spans="3:17">
      <c r="C148" s="495">
        <f>IF(D96="","-",+C147+1)</f>
        <v>2059</v>
      </c>
      <c r="D148" s="459">
        <f t="shared" si="14"/>
        <v>65835.691041667684</v>
      </c>
      <c r="E148" s="502">
        <f t="shared" si="15"/>
        <v>23236.126250000001</v>
      </c>
      <c r="F148" s="502">
        <f t="shared" si="8"/>
        <v>42599.564791667683</v>
      </c>
      <c r="G148" s="459">
        <f t="shared" si="9"/>
        <v>54217.627916667683</v>
      </c>
      <c r="H148" s="496">
        <f>+J97*G148+E148</f>
        <v>28807.786061694445</v>
      </c>
      <c r="I148" s="503">
        <f>+J98*G148+E148</f>
        <v>28807.786061694445</v>
      </c>
      <c r="J148" s="499">
        <f t="shared" si="10"/>
        <v>0</v>
      </c>
      <c r="K148" s="499"/>
      <c r="L148" s="504"/>
      <c r="M148" s="499">
        <f t="shared" si="11"/>
        <v>0</v>
      </c>
      <c r="N148" s="504"/>
      <c r="O148" s="499">
        <f t="shared" si="12"/>
        <v>0</v>
      </c>
      <c r="P148" s="499">
        <f t="shared" si="13"/>
        <v>0</v>
      </c>
      <c r="Q148" s="461"/>
    </row>
    <row r="149" spans="3:17">
      <c r="C149" s="495">
        <f>IF(D96="","-",+C148+1)</f>
        <v>2060</v>
      </c>
      <c r="D149" s="459">
        <f t="shared" si="14"/>
        <v>42599.564791667683</v>
      </c>
      <c r="E149" s="502">
        <f t="shared" si="15"/>
        <v>23236.126250000001</v>
      </c>
      <c r="F149" s="502">
        <f t="shared" si="8"/>
        <v>19363.438541667681</v>
      </c>
      <c r="G149" s="459">
        <f t="shared" si="9"/>
        <v>30981.501666667682</v>
      </c>
      <c r="H149" s="496">
        <f>+J97*G149+E149</f>
        <v>26419.931856682586</v>
      </c>
      <c r="I149" s="503">
        <f>+J98*G149+E149</f>
        <v>26419.931856682586</v>
      </c>
      <c r="J149" s="499">
        <f t="shared" si="10"/>
        <v>0</v>
      </c>
      <c r="K149" s="499"/>
      <c r="L149" s="504"/>
      <c r="M149" s="499">
        <f t="shared" si="11"/>
        <v>0</v>
      </c>
      <c r="N149" s="504"/>
      <c r="O149" s="499">
        <f t="shared" si="12"/>
        <v>0</v>
      </c>
      <c r="P149" s="499">
        <f t="shared" si="13"/>
        <v>0</v>
      </c>
      <c r="Q149" s="461"/>
    </row>
    <row r="150" spans="3:17">
      <c r="C150" s="495">
        <f>IF(D96="","-",+C149+1)</f>
        <v>2061</v>
      </c>
      <c r="D150" s="459">
        <f t="shared" si="14"/>
        <v>19363.438541667681</v>
      </c>
      <c r="E150" s="502">
        <f t="shared" si="15"/>
        <v>19363.438541667681</v>
      </c>
      <c r="F150" s="502">
        <f t="shared" si="8"/>
        <v>0</v>
      </c>
      <c r="G150" s="459">
        <f t="shared" si="9"/>
        <v>9681.7192708338407</v>
      </c>
      <c r="H150" s="496">
        <f>+J97*G150+E150</f>
        <v>20358.377793756008</v>
      </c>
      <c r="I150" s="503">
        <f>+J98*G150+E150</f>
        <v>20358.377793756008</v>
      </c>
      <c r="J150" s="499">
        <f t="shared" si="10"/>
        <v>0</v>
      </c>
      <c r="K150" s="499"/>
      <c r="L150" s="504"/>
      <c r="M150" s="499">
        <f t="shared" si="11"/>
        <v>0</v>
      </c>
      <c r="N150" s="504"/>
      <c r="O150" s="499">
        <f t="shared" si="12"/>
        <v>0</v>
      </c>
      <c r="P150" s="499">
        <f t="shared" si="13"/>
        <v>0</v>
      </c>
      <c r="Q150" s="461"/>
    </row>
    <row r="151" spans="3:17">
      <c r="C151" s="495">
        <f>IF(D96="","-",+C150+1)</f>
        <v>2062</v>
      </c>
      <c r="D151" s="459">
        <f t="shared" si="14"/>
        <v>0</v>
      </c>
      <c r="E151" s="502">
        <f t="shared" si="15"/>
        <v>0</v>
      </c>
      <c r="F151" s="502">
        <f t="shared" si="8"/>
        <v>0</v>
      </c>
      <c r="G151" s="459">
        <f t="shared" si="9"/>
        <v>0</v>
      </c>
      <c r="H151" s="496">
        <f>+J97*G151+E151</f>
        <v>0</v>
      </c>
      <c r="I151" s="503">
        <f>+J98*G151+E151</f>
        <v>0</v>
      </c>
      <c r="J151" s="499">
        <f t="shared" si="10"/>
        <v>0</v>
      </c>
      <c r="K151" s="499"/>
      <c r="L151" s="504"/>
      <c r="M151" s="499">
        <f t="shared" si="11"/>
        <v>0</v>
      </c>
      <c r="N151" s="504"/>
      <c r="O151" s="499">
        <f t="shared" si="12"/>
        <v>0</v>
      </c>
      <c r="P151" s="499">
        <f t="shared" si="13"/>
        <v>0</v>
      </c>
      <c r="Q151" s="461"/>
    </row>
    <row r="152" spans="3:17">
      <c r="C152" s="495">
        <f>IF(D96="","-",+C151+1)</f>
        <v>2063</v>
      </c>
      <c r="D152" s="459">
        <f t="shared" si="14"/>
        <v>0</v>
      </c>
      <c r="E152" s="502">
        <f t="shared" si="15"/>
        <v>0</v>
      </c>
      <c r="F152" s="502">
        <f t="shared" si="8"/>
        <v>0</v>
      </c>
      <c r="G152" s="459">
        <f t="shared" si="9"/>
        <v>0</v>
      </c>
      <c r="H152" s="496">
        <f>+J97*G152+E152</f>
        <v>0</v>
      </c>
      <c r="I152" s="503">
        <f>+J98*G152+E152</f>
        <v>0</v>
      </c>
      <c r="J152" s="499">
        <f t="shared" si="10"/>
        <v>0</v>
      </c>
      <c r="K152" s="499"/>
      <c r="L152" s="504"/>
      <c r="M152" s="499">
        <f t="shared" si="11"/>
        <v>0</v>
      </c>
      <c r="N152" s="504"/>
      <c r="O152" s="499">
        <f t="shared" si="12"/>
        <v>0</v>
      </c>
      <c r="P152" s="499">
        <f t="shared" si="13"/>
        <v>0</v>
      </c>
      <c r="Q152" s="461"/>
    </row>
    <row r="153" spans="3:17">
      <c r="C153" s="495">
        <f>IF(D96="","-",+C152+1)</f>
        <v>2064</v>
      </c>
      <c r="D153" s="459">
        <f t="shared" si="14"/>
        <v>0</v>
      </c>
      <c r="E153" s="502">
        <f t="shared" si="15"/>
        <v>0</v>
      </c>
      <c r="F153" s="502">
        <f t="shared" si="8"/>
        <v>0</v>
      </c>
      <c r="G153" s="459">
        <f t="shared" si="9"/>
        <v>0</v>
      </c>
      <c r="H153" s="496">
        <f>+J97*G153+E153</f>
        <v>0</v>
      </c>
      <c r="I153" s="503">
        <f>+J98*G153+E153</f>
        <v>0</v>
      </c>
      <c r="J153" s="499">
        <f t="shared" si="10"/>
        <v>0</v>
      </c>
      <c r="K153" s="499"/>
      <c r="L153" s="504"/>
      <c r="M153" s="499">
        <f t="shared" si="11"/>
        <v>0</v>
      </c>
      <c r="N153" s="504"/>
      <c r="O153" s="499">
        <f t="shared" si="12"/>
        <v>0</v>
      </c>
      <c r="P153" s="499">
        <f t="shared" si="13"/>
        <v>0</v>
      </c>
      <c r="Q153" s="461"/>
    </row>
    <row r="154" spans="3:17">
      <c r="C154" s="495">
        <f>IF(D96="","-",+C153+1)</f>
        <v>2065</v>
      </c>
      <c r="D154" s="459">
        <f t="shared" si="14"/>
        <v>0</v>
      </c>
      <c r="E154" s="502">
        <f t="shared" si="15"/>
        <v>0</v>
      </c>
      <c r="F154" s="502">
        <f t="shared" si="8"/>
        <v>0</v>
      </c>
      <c r="G154" s="459">
        <f t="shared" si="9"/>
        <v>0</v>
      </c>
      <c r="H154" s="496">
        <f>+J97*G154+E154</f>
        <v>0</v>
      </c>
      <c r="I154" s="503">
        <f>+J98*G154+E154</f>
        <v>0</v>
      </c>
      <c r="J154" s="499">
        <f t="shared" si="10"/>
        <v>0</v>
      </c>
      <c r="K154" s="499"/>
      <c r="L154" s="504"/>
      <c r="M154" s="499">
        <f t="shared" si="11"/>
        <v>0</v>
      </c>
      <c r="N154" s="504"/>
      <c r="O154" s="499">
        <f t="shared" si="12"/>
        <v>0</v>
      </c>
      <c r="P154" s="499">
        <f t="shared" si="13"/>
        <v>0</v>
      </c>
      <c r="Q154" s="461"/>
    </row>
    <row r="155" spans="3:17">
      <c r="C155" s="495">
        <f>IF(D96="","-",+C154+1)</f>
        <v>2066</v>
      </c>
      <c r="D155" s="459">
        <f t="shared" si="14"/>
        <v>0</v>
      </c>
      <c r="E155" s="502">
        <f t="shared" si="15"/>
        <v>0</v>
      </c>
      <c r="F155" s="502">
        <f t="shared" si="8"/>
        <v>0</v>
      </c>
      <c r="G155" s="459">
        <f t="shared" si="9"/>
        <v>0</v>
      </c>
      <c r="H155" s="496">
        <f>+J97*G155+E155</f>
        <v>0</v>
      </c>
      <c r="I155" s="503">
        <f>+J98*G155+E155</f>
        <v>0</v>
      </c>
      <c r="J155" s="499">
        <f t="shared" si="10"/>
        <v>0</v>
      </c>
      <c r="K155" s="499"/>
      <c r="L155" s="504"/>
      <c r="M155" s="499">
        <f t="shared" si="11"/>
        <v>0</v>
      </c>
      <c r="N155" s="504"/>
      <c r="O155" s="499">
        <f t="shared" si="12"/>
        <v>0</v>
      </c>
      <c r="P155" s="499">
        <f t="shared" si="13"/>
        <v>0</v>
      </c>
      <c r="Q155" s="461"/>
    </row>
    <row r="156" spans="3:17">
      <c r="C156" s="495">
        <f>IF(D96="","-",+C155+1)</f>
        <v>2067</v>
      </c>
      <c r="D156" s="459">
        <f t="shared" si="14"/>
        <v>0</v>
      </c>
      <c r="E156" s="502">
        <f t="shared" si="15"/>
        <v>0</v>
      </c>
      <c r="F156" s="502">
        <f t="shared" si="8"/>
        <v>0</v>
      </c>
      <c r="G156" s="459">
        <f t="shared" si="9"/>
        <v>0</v>
      </c>
      <c r="H156" s="496">
        <f>+J97*G156+E156</f>
        <v>0</v>
      </c>
      <c r="I156" s="503">
        <f>+J98*G156+E156</f>
        <v>0</v>
      </c>
      <c r="J156" s="499">
        <f t="shared" si="10"/>
        <v>0</v>
      </c>
      <c r="K156" s="499"/>
      <c r="L156" s="504"/>
      <c r="M156" s="499">
        <f t="shared" si="11"/>
        <v>0</v>
      </c>
      <c r="N156" s="504"/>
      <c r="O156" s="499">
        <f t="shared" si="12"/>
        <v>0</v>
      </c>
      <c r="P156" s="499">
        <f t="shared" si="13"/>
        <v>0</v>
      </c>
      <c r="Q156" s="461"/>
    </row>
    <row r="157" spans="3:17">
      <c r="C157" s="495">
        <f>IF(D96="","-",+C156+1)</f>
        <v>2068</v>
      </c>
      <c r="D157" s="459">
        <f t="shared" si="14"/>
        <v>0</v>
      </c>
      <c r="E157" s="502">
        <f t="shared" si="15"/>
        <v>0</v>
      </c>
      <c r="F157" s="502">
        <f t="shared" si="8"/>
        <v>0</v>
      </c>
      <c r="G157" s="459">
        <f t="shared" si="9"/>
        <v>0</v>
      </c>
      <c r="H157" s="496">
        <f>+J97*G157+E157</f>
        <v>0</v>
      </c>
      <c r="I157" s="503">
        <f>+J98*G157+E157</f>
        <v>0</v>
      </c>
      <c r="J157" s="499">
        <f t="shared" si="10"/>
        <v>0</v>
      </c>
      <c r="K157" s="499"/>
      <c r="L157" s="504"/>
      <c r="M157" s="499">
        <f t="shared" si="11"/>
        <v>0</v>
      </c>
      <c r="N157" s="504"/>
      <c r="O157" s="499">
        <f t="shared" si="12"/>
        <v>0</v>
      </c>
      <c r="P157" s="499">
        <f t="shared" si="13"/>
        <v>0</v>
      </c>
      <c r="Q157" s="461"/>
    </row>
    <row r="158" spans="3:17">
      <c r="C158" s="495">
        <f>IF(D96="","-",+C157+1)</f>
        <v>2069</v>
      </c>
      <c r="D158" s="459">
        <f t="shared" si="14"/>
        <v>0</v>
      </c>
      <c r="E158" s="502">
        <f t="shared" si="15"/>
        <v>0</v>
      </c>
      <c r="F158" s="502">
        <f t="shared" si="8"/>
        <v>0</v>
      </c>
      <c r="G158" s="459">
        <f t="shared" si="9"/>
        <v>0</v>
      </c>
      <c r="H158" s="496">
        <f>+J97*G158+E158</f>
        <v>0</v>
      </c>
      <c r="I158" s="503">
        <f>+J98*G158+E158</f>
        <v>0</v>
      </c>
      <c r="J158" s="499">
        <f t="shared" si="10"/>
        <v>0</v>
      </c>
      <c r="K158" s="499"/>
      <c r="L158" s="504"/>
      <c r="M158" s="499">
        <f t="shared" si="11"/>
        <v>0</v>
      </c>
      <c r="N158" s="504"/>
      <c r="O158" s="499">
        <f t="shared" si="12"/>
        <v>0</v>
      </c>
      <c r="P158" s="499">
        <f t="shared" si="13"/>
        <v>0</v>
      </c>
      <c r="Q158" s="461"/>
    </row>
    <row r="159" spans="3:17">
      <c r="C159" s="495">
        <f>IF(D96="","-",+C158+1)</f>
        <v>2070</v>
      </c>
      <c r="D159" s="459">
        <f t="shared" si="14"/>
        <v>0</v>
      </c>
      <c r="E159" s="502">
        <f t="shared" si="15"/>
        <v>0</v>
      </c>
      <c r="F159" s="502">
        <f t="shared" si="8"/>
        <v>0</v>
      </c>
      <c r="G159" s="459">
        <f t="shared" si="9"/>
        <v>0</v>
      </c>
      <c r="H159" s="496">
        <f>+J97*G159+E159</f>
        <v>0</v>
      </c>
      <c r="I159" s="503">
        <f>+J98*G159+E159</f>
        <v>0</v>
      </c>
      <c r="J159" s="499">
        <f t="shared" si="10"/>
        <v>0</v>
      </c>
      <c r="K159" s="499"/>
      <c r="L159" s="504"/>
      <c r="M159" s="499">
        <f t="shared" si="11"/>
        <v>0</v>
      </c>
      <c r="N159" s="504"/>
      <c r="O159" s="499">
        <f t="shared" si="12"/>
        <v>0</v>
      </c>
      <c r="P159" s="499">
        <f t="shared" si="13"/>
        <v>0</v>
      </c>
      <c r="Q159" s="461"/>
    </row>
    <row r="160" spans="3:17">
      <c r="C160" s="495">
        <f>IF(D96="","-",+C159+1)</f>
        <v>2071</v>
      </c>
      <c r="D160" s="459">
        <f t="shared" si="14"/>
        <v>0</v>
      </c>
      <c r="E160" s="502">
        <f t="shared" si="15"/>
        <v>0</v>
      </c>
      <c r="F160" s="502">
        <f t="shared" si="8"/>
        <v>0</v>
      </c>
      <c r="G160" s="459">
        <f t="shared" si="9"/>
        <v>0</v>
      </c>
      <c r="H160" s="496">
        <f>+J97*G160+E160</f>
        <v>0</v>
      </c>
      <c r="I160" s="503">
        <f>+J98*G160+E160</f>
        <v>0</v>
      </c>
      <c r="J160" s="499">
        <f t="shared" si="10"/>
        <v>0</v>
      </c>
      <c r="K160" s="499"/>
      <c r="L160" s="504"/>
      <c r="M160" s="499">
        <f t="shared" si="11"/>
        <v>0</v>
      </c>
      <c r="N160" s="504"/>
      <c r="O160" s="499">
        <f t="shared" si="12"/>
        <v>0</v>
      </c>
      <c r="P160" s="499">
        <f t="shared" si="13"/>
        <v>0</v>
      </c>
      <c r="Q160" s="461"/>
    </row>
    <row r="161" spans="3:17" ht="13.5" thickBot="1">
      <c r="C161" s="506">
        <f>IF(D96="","-",+C160+1)</f>
        <v>2072</v>
      </c>
      <c r="D161" s="507">
        <f t="shared" si="14"/>
        <v>0</v>
      </c>
      <c r="E161" s="508">
        <f t="shared" si="15"/>
        <v>0</v>
      </c>
      <c r="F161" s="508">
        <f t="shared" si="8"/>
        <v>0</v>
      </c>
      <c r="G161" s="507">
        <f t="shared" si="9"/>
        <v>0</v>
      </c>
      <c r="H161" s="509">
        <f>+J97*G161+E161</f>
        <v>0</v>
      </c>
      <c r="I161" s="509">
        <f>+J98*G161+E161</f>
        <v>0</v>
      </c>
      <c r="J161" s="510">
        <f t="shared" si="10"/>
        <v>0</v>
      </c>
      <c r="K161" s="499"/>
      <c r="L161" s="511"/>
      <c r="M161" s="510">
        <f t="shared" si="11"/>
        <v>0</v>
      </c>
      <c r="N161" s="511"/>
      <c r="O161" s="510">
        <f t="shared" si="12"/>
        <v>0</v>
      </c>
      <c r="P161" s="510">
        <f t="shared" si="13"/>
        <v>0</v>
      </c>
      <c r="Q161" s="461"/>
    </row>
    <row r="162" spans="3:17">
      <c r="C162" s="459" t="s">
        <v>288</v>
      </c>
      <c r="D162" s="457"/>
      <c r="E162" s="457">
        <f>SUM(E102:E161)</f>
        <v>1115334.0600000003</v>
      </c>
      <c r="F162" s="457"/>
      <c r="G162" s="457"/>
      <c r="H162" s="457">
        <f>SUM(H102:H161)</f>
        <v>3961656.2723741378</v>
      </c>
      <c r="I162" s="457">
        <f>SUM(I102:I161)</f>
        <v>3961656.2723741378</v>
      </c>
      <c r="J162" s="457">
        <f>SUM(J102:J161)</f>
        <v>0</v>
      </c>
      <c r="K162" s="457"/>
      <c r="L162" s="457"/>
      <c r="M162" s="457"/>
      <c r="N162" s="457"/>
      <c r="O162" s="457"/>
      <c r="Q162" s="457"/>
    </row>
    <row r="163" spans="3:17">
      <c r="D163" s="76"/>
      <c r="E163" s="3"/>
      <c r="F163" s="3"/>
      <c r="G163" s="3"/>
      <c r="H163" s="3"/>
      <c r="I163" s="442"/>
      <c r="J163" s="442"/>
      <c r="K163" s="457"/>
      <c r="L163" s="442"/>
      <c r="M163" s="442"/>
      <c r="N163" s="442"/>
      <c r="O163" s="442"/>
      <c r="Q163" s="457"/>
    </row>
    <row r="164" spans="3:17">
      <c r="C164" s="3" t="s">
        <v>595</v>
      </c>
      <c r="D164" s="76"/>
      <c r="E164" s="3"/>
      <c r="F164" s="3"/>
      <c r="G164" s="3"/>
      <c r="H164" s="3"/>
      <c r="I164" s="442"/>
      <c r="J164" s="442"/>
      <c r="K164" s="457"/>
      <c r="L164" s="442"/>
      <c r="M164" s="442"/>
      <c r="N164" s="442"/>
      <c r="O164" s="442"/>
      <c r="Q164" s="457"/>
    </row>
    <row r="165" spans="3:17">
      <c r="D165" s="76"/>
      <c r="E165" s="3"/>
      <c r="F165" s="3"/>
      <c r="G165" s="3"/>
      <c r="H165" s="3"/>
      <c r="I165" s="442"/>
      <c r="J165" s="442"/>
      <c r="K165" s="457"/>
      <c r="L165" s="442"/>
      <c r="M165" s="442"/>
      <c r="N165" s="442"/>
      <c r="O165" s="442"/>
      <c r="Q165" s="457"/>
    </row>
    <row r="166" spans="3:17">
      <c r="C166" s="3" t="s">
        <v>596</v>
      </c>
      <c r="D166" s="459"/>
      <c r="E166" s="459"/>
      <c r="F166" s="459"/>
      <c r="G166" s="459"/>
      <c r="H166" s="457"/>
      <c r="I166" s="457"/>
      <c r="J166" s="461"/>
      <c r="K166" s="461"/>
      <c r="L166" s="461"/>
      <c r="M166" s="461"/>
      <c r="N166" s="461"/>
      <c r="O166" s="461"/>
      <c r="Q166" s="461"/>
    </row>
    <row r="167" spans="3:17">
      <c r="C167" s="3" t="s">
        <v>475</v>
      </c>
      <c r="D167" s="459"/>
      <c r="E167" s="459"/>
      <c r="F167" s="459"/>
      <c r="G167" s="459"/>
      <c r="H167" s="457"/>
      <c r="I167" s="457"/>
      <c r="J167" s="461"/>
      <c r="K167" s="461"/>
      <c r="L167" s="461"/>
      <c r="M167" s="461"/>
      <c r="N167" s="461"/>
      <c r="O167" s="461"/>
      <c r="Q167" s="461"/>
    </row>
    <row r="168" spans="3:17">
      <c r="C168" s="3" t="s">
        <v>289</v>
      </c>
      <c r="D168" s="459"/>
      <c r="E168" s="459"/>
      <c r="F168" s="459"/>
      <c r="G168" s="459"/>
      <c r="H168" s="457"/>
      <c r="I168" s="457"/>
      <c r="J168" s="461"/>
      <c r="K168" s="461"/>
      <c r="L168" s="461"/>
      <c r="M168" s="461"/>
      <c r="N168" s="461"/>
      <c r="O168" s="461"/>
      <c r="Q168" s="461"/>
    </row>
    <row r="169" spans="3:17">
      <c r="Q169"/>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6"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A47"/>
  <sheetViews>
    <sheetView tabSelected="1" view="pageBreakPreview" zoomScaleNormal="100" zoomScaleSheetLayoutView="100" workbookViewId="0">
      <selection activeCell="D3" sqref="D3"/>
    </sheetView>
  </sheetViews>
  <sheetFormatPr defaultColWidth="9.140625" defaultRowHeight="12.75"/>
  <cols>
    <col min="1" max="1" width="9.140625" style="15"/>
    <col min="2" max="2" width="37.5703125" style="17" customWidth="1"/>
    <col min="3" max="3" width="31.5703125" style="5" customWidth="1"/>
    <col min="4" max="4" width="14.85546875" style="5" customWidth="1"/>
    <col min="5" max="5" width="18" style="5" customWidth="1"/>
    <col min="6" max="7" width="11.140625" style="5" bestFit="1" customWidth="1"/>
    <col min="8" max="8" width="11.140625" style="194" bestFit="1" customWidth="1"/>
    <col min="9" max="16384" width="9.140625" style="5"/>
  </cols>
  <sheetData>
    <row r="1" spans="1:27" ht="15.75">
      <c r="A1" s="651" t="s">
        <v>114</v>
      </c>
    </row>
    <row r="2" spans="1:27" ht="15.75">
      <c r="A2" s="651" t="s">
        <v>114</v>
      </c>
    </row>
    <row r="3" spans="1:27" ht="15">
      <c r="A3" s="15" t="s">
        <v>114</v>
      </c>
      <c r="B3" s="1254" t="s">
        <v>387</v>
      </c>
      <c r="C3" s="1254"/>
      <c r="D3" s="1254"/>
      <c r="E3" s="1254"/>
      <c r="F3" s="1254"/>
      <c r="G3" s="28"/>
      <c r="H3" s="190"/>
      <c r="I3" s="28"/>
      <c r="J3" s="28"/>
      <c r="K3" s="28"/>
      <c r="L3" s="28"/>
      <c r="M3" s="28"/>
      <c r="N3" s="28"/>
      <c r="O3" s="28"/>
      <c r="P3" s="28"/>
    </row>
    <row r="4" spans="1:27" ht="15">
      <c r="B4" s="1255" t="str">
        <f>"Cost of Service Formula Rate Using "&amp;TCOS!L4&amp;" FF1 Balances"</f>
        <v>Cost of Service Formula Rate Using 2025 FF1 Balances</v>
      </c>
      <c r="C4" s="1255"/>
      <c r="D4" s="1255"/>
      <c r="E4" s="1255"/>
      <c r="F4" s="1255"/>
      <c r="G4" s="72"/>
      <c r="H4" s="191"/>
      <c r="I4" s="72"/>
      <c r="J4" s="72"/>
      <c r="K4" s="72"/>
      <c r="L4" s="72"/>
      <c r="M4" s="72"/>
      <c r="N4" s="72"/>
      <c r="O4" s="72"/>
      <c r="P4" s="72"/>
    </row>
    <row r="5" spans="1:27" ht="18">
      <c r="B5" s="1254" t="s">
        <v>546</v>
      </c>
      <c r="C5" s="1254"/>
      <c r="D5" s="1254"/>
      <c r="E5" s="1254"/>
      <c r="F5" s="1254"/>
      <c r="G5" s="116"/>
      <c r="H5" s="192"/>
      <c r="I5" s="116"/>
      <c r="J5" s="116"/>
      <c r="K5" s="116"/>
    </row>
    <row r="6" spans="1:27" ht="18">
      <c r="B6" s="1263" t="str">
        <f>+TCOS!F9</f>
        <v>WHEELING POWER COMPANY</v>
      </c>
      <c r="C6" s="1254"/>
      <c r="D6" s="1254"/>
      <c r="E6" s="1254"/>
      <c r="F6" s="1254"/>
      <c r="G6" s="122"/>
      <c r="H6" s="193"/>
      <c r="I6" s="122"/>
      <c r="J6" s="122"/>
      <c r="K6" s="122"/>
    </row>
    <row r="8" spans="1:27" ht="18.75" customHeight="1">
      <c r="B8" s="13"/>
      <c r="C8" s="106"/>
      <c r="D8" s="107"/>
    </row>
    <row r="10" spans="1:27" ht="18">
      <c r="B10" s="4"/>
      <c r="C10" s="4"/>
      <c r="D10" s="4"/>
      <c r="E10" s="4"/>
      <c r="F10" s="4"/>
      <c r="R10" s="115"/>
      <c r="S10" s="115"/>
      <c r="T10" s="115"/>
      <c r="U10" s="115"/>
      <c r="V10" s="115"/>
      <c r="W10" s="115"/>
      <c r="X10" s="115"/>
      <c r="Y10" s="115"/>
      <c r="Z10" s="115"/>
      <c r="AA10" s="115"/>
    </row>
    <row r="11" spans="1:27">
      <c r="A11" s="639"/>
      <c r="B11" s="105"/>
      <c r="C11" s="107"/>
    </row>
    <row r="12" spans="1:27">
      <c r="A12" s="174"/>
      <c r="B12" s="8"/>
      <c r="C12" s="8"/>
      <c r="D12" s="8"/>
      <c r="E12" s="8"/>
      <c r="F12" s="8"/>
      <c r="G12" s="7"/>
    </row>
    <row r="13" spans="1:27">
      <c r="A13" s="175"/>
      <c r="B13" s="8"/>
      <c r="C13" s="8"/>
      <c r="D13" s="8"/>
      <c r="E13" s="8"/>
      <c r="F13" s="8"/>
      <c r="G13" s="7"/>
    </row>
    <row r="14" spans="1:27">
      <c r="A14" s="201"/>
      <c r="B14" s="8"/>
      <c r="C14" s="8"/>
      <c r="D14" s="8"/>
      <c r="E14" s="8"/>
      <c r="F14" s="8"/>
      <c r="H14" s="5"/>
    </row>
    <row r="15" spans="1:27">
      <c r="A15" s="201"/>
      <c r="B15" s="8"/>
      <c r="C15" s="8"/>
      <c r="D15" s="8"/>
      <c r="E15" s="8"/>
      <c r="F15" s="8"/>
      <c r="H15" s="5"/>
    </row>
    <row r="16" spans="1:27">
      <c r="A16" s="201"/>
      <c r="B16" s="8"/>
      <c r="C16" s="8"/>
      <c r="D16" s="8"/>
      <c r="E16" s="8"/>
      <c r="F16" s="8"/>
      <c r="H16" s="5"/>
    </row>
    <row r="17" spans="1:8" ht="12.75" customHeight="1">
      <c r="A17" s="201"/>
      <c r="B17" s="8"/>
      <c r="C17" s="8"/>
      <c r="D17" s="8"/>
      <c r="E17" s="8"/>
      <c r="F17" s="8"/>
      <c r="H17" s="5"/>
    </row>
    <row r="18" spans="1:8">
      <c r="A18" s="201"/>
      <c r="B18" s="8"/>
      <c r="C18" s="8"/>
      <c r="D18" s="8"/>
      <c r="E18" s="8"/>
      <c r="F18" s="8"/>
      <c r="H18" s="5"/>
    </row>
    <row r="19" spans="1:8">
      <c r="A19" s="201"/>
      <c r="B19" s="8"/>
      <c r="C19" s="8"/>
      <c r="D19" s="8"/>
      <c r="E19" s="8"/>
      <c r="F19" s="8"/>
      <c r="H19" s="5"/>
    </row>
    <row r="20" spans="1:8">
      <c r="A20" s="201"/>
      <c r="B20" s="8"/>
      <c r="C20" s="8"/>
      <c r="D20" s="8"/>
      <c r="E20" s="8"/>
      <c r="F20" s="8"/>
      <c r="H20" s="5"/>
    </row>
    <row r="21" spans="1:8">
      <c r="A21" s="201"/>
      <c r="B21" s="8"/>
      <c r="C21" s="8"/>
      <c r="D21" s="8"/>
      <c r="E21" s="8"/>
      <c r="F21" s="8"/>
      <c r="H21" s="5"/>
    </row>
    <row r="22" spans="1:8">
      <c r="A22" s="201"/>
      <c r="B22" s="8"/>
      <c r="C22" s="8"/>
      <c r="D22" s="8"/>
      <c r="E22" s="8"/>
      <c r="F22" s="8"/>
      <c r="H22" s="5"/>
    </row>
    <row r="23" spans="1:8" ht="12.75" customHeight="1">
      <c r="A23" s="201"/>
      <c r="B23" s="8"/>
      <c r="C23" s="8"/>
      <c r="D23" s="8"/>
      <c r="E23" s="8"/>
      <c r="F23" s="8"/>
      <c r="H23" s="5"/>
    </row>
    <row r="24" spans="1:8" ht="12.75" customHeight="1">
      <c r="A24" s="201"/>
      <c r="B24" s="8"/>
      <c r="C24" s="8"/>
      <c r="D24" s="8"/>
      <c r="E24" s="8"/>
      <c r="F24" s="8"/>
      <c r="H24" s="5"/>
    </row>
    <row r="25" spans="1:8" ht="12.75" customHeight="1">
      <c r="A25" s="201"/>
      <c r="B25" s="8"/>
      <c r="C25" s="8"/>
      <c r="D25" s="8"/>
      <c r="E25" s="8"/>
      <c r="F25" s="8"/>
      <c r="H25" s="5"/>
    </row>
    <row r="26" spans="1:8" ht="12.75" customHeight="1">
      <c r="A26" s="201"/>
      <c r="B26" s="8"/>
      <c r="C26" s="8"/>
      <c r="D26" s="8"/>
      <c r="E26" s="8"/>
      <c r="F26" s="8"/>
      <c r="H26" s="5"/>
    </row>
    <row r="27" spans="1:8" ht="12.75" customHeight="1">
      <c r="A27" s="201"/>
      <c r="B27" s="8"/>
      <c r="C27" s="8"/>
      <c r="D27" s="8"/>
      <c r="E27" s="8"/>
      <c r="F27" s="8"/>
      <c r="H27" s="5"/>
    </row>
    <row r="28" spans="1:8" ht="12.75" customHeight="1">
      <c r="A28" s="201"/>
      <c r="B28" s="8"/>
      <c r="C28" s="8"/>
      <c r="D28" s="8"/>
      <c r="E28" s="8"/>
      <c r="F28" s="8"/>
      <c r="H28" s="5"/>
    </row>
    <row r="29" spans="1:8" ht="12.75" customHeight="1">
      <c r="A29" s="201"/>
      <c r="B29" s="8"/>
      <c r="C29" s="8"/>
      <c r="D29" s="8"/>
      <c r="E29" s="8"/>
      <c r="F29" s="8"/>
      <c r="H29" s="5"/>
    </row>
    <row r="30" spans="1:8" ht="12.75" customHeight="1">
      <c r="A30" s="201"/>
      <c r="B30" s="8"/>
      <c r="C30" s="8"/>
      <c r="D30" s="8"/>
      <c r="E30" s="8"/>
      <c r="F30" s="8"/>
      <c r="H30" s="5"/>
    </row>
    <row r="31" spans="1:8" ht="12.75" customHeight="1">
      <c r="A31" s="201"/>
      <c r="B31" s="8"/>
      <c r="C31" s="8"/>
      <c r="D31" s="8"/>
      <c r="E31" s="8"/>
      <c r="F31" s="8"/>
      <c r="H31" s="5"/>
    </row>
    <row r="32" spans="1:8" ht="12.75" customHeight="1">
      <c r="A32" s="201"/>
      <c r="B32" s="8"/>
      <c r="C32" s="8"/>
      <c r="D32" s="8"/>
      <c r="E32" s="8"/>
      <c r="F32" s="8"/>
      <c r="H32" s="5"/>
    </row>
    <row r="33" spans="1:8" ht="12.75" customHeight="1">
      <c r="A33" s="201"/>
      <c r="B33" s="8"/>
      <c r="C33" s="8"/>
      <c r="D33" s="8"/>
      <c r="E33" s="8"/>
      <c r="F33" s="8"/>
      <c r="H33" s="5"/>
    </row>
    <row r="34" spans="1:8" ht="12.75" customHeight="1">
      <c r="A34" s="201"/>
      <c r="B34" s="8"/>
      <c r="C34" s="8"/>
      <c r="D34" s="8"/>
      <c r="E34" s="8"/>
      <c r="F34" s="8"/>
      <c r="H34" s="5"/>
    </row>
    <row r="35" spans="1:8" ht="12.75" customHeight="1">
      <c r="A35" s="201"/>
      <c r="B35" s="8"/>
      <c r="C35" s="8"/>
      <c r="D35" s="8"/>
      <c r="E35" s="8"/>
      <c r="F35" s="8"/>
      <c r="H35" s="5"/>
    </row>
    <row r="36" spans="1:8" ht="12.75" customHeight="1">
      <c r="A36" s="201"/>
      <c r="B36" s="8"/>
      <c r="C36" s="8"/>
      <c r="D36" s="8"/>
      <c r="E36" s="8"/>
      <c r="F36" s="8"/>
      <c r="H36" s="5"/>
    </row>
    <row r="37" spans="1:8" ht="12.75" customHeight="1">
      <c r="A37" s="201"/>
      <c r="B37" s="8"/>
      <c r="C37" s="8"/>
      <c r="D37" s="8"/>
      <c r="E37" s="8"/>
      <c r="F37" s="8"/>
      <c r="H37" s="5"/>
    </row>
    <row r="38" spans="1:8" ht="12.75" customHeight="1">
      <c r="A38" s="201"/>
      <c r="B38" s="8"/>
      <c r="C38" s="8"/>
      <c r="D38" s="8"/>
      <c r="E38" s="8"/>
      <c r="F38" s="8"/>
      <c r="H38" s="5"/>
    </row>
    <row r="39" spans="1:8" ht="12.75" customHeight="1">
      <c r="A39" s="201"/>
      <c r="B39" s="8"/>
      <c r="C39" s="8"/>
      <c r="D39" s="8"/>
      <c r="E39" s="8"/>
      <c r="F39" s="8"/>
      <c r="H39" s="5"/>
    </row>
    <row r="40" spans="1:8" ht="12.75" customHeight="1">
      <c r="A40" s="201"/>
      <c r="B40" s="8"/>
      <c r="C40" s="8"/>
      <c r="D40" s="8"/>
      <c r="E40" s="8"/>
      <c r="F40" s="8"/>
      <c r="H40" s="5"/>
    </row>
    <row r="41" spans="1:8" ht="12.75" customHeight="1">
      <c r="A41" s="201"/>
      <c r="B41" s="8"/>
      <c r="C41" s="8"/>
      <c r="D41" s="8"/>
      <c r="E41" s="8"/>
      <c r="F41" s="8"/>
      <c r="H41" s="5"/>
    </row>
    <row r="42" spans="1:8" ht="12.75" customHeight="1">
      <c r="A42" s="201"/>
      <c r="B42" s="8"/>
      <c r="C42" s="8"/>
      <c r="D42" s="8"/>
      <c r="E42" s="8"/>
      <c r="F42" s="8"/>
      <c r="H42" s="5"/>
    </row>
    <row r="43" spans="1:8" ht="12.6" customHeight="1">
      <c r="A43" s="201"/>
      <c r="B43" s="8"/>
      <c r="C43" s="8"/>
      <c r="D43" s="8"/>
      <c r="E43" s="8"/>
      <c r="F43" s="8"/>
      <c r="H43" s="5"/>
    </row>
    <row r="44" spans="1:8" ht="12.75" customHeight="1">
      <c r="A44" s="201"/>
      <c r="B44" s="8"/>
      <c r="C44" s="8"/>
      <c r="D44" s="8"/>
      <c r="E44" s="8"/>
      <c r="F44" s="8"/>
      <c r="H44" s="5"/>
    </row>
    <row r="45" spans="1:8">
      <c r="B45" s="8"/>
      <c r="C45" s="8"/>
      <c r="D45" s="8"/>
      <c r="E45" s="8"/>
      <c r="F45" s="8"/>
      <c r="H45" s="5"/>
    </row>
    <row r="46" spans="1:8">
      <c r="B46" s="8"/>
      <c r="C46" s="8"/>
      <c r="D46" s="8"/>
      <c r="E46" s="8"/>
      <c r="F46" s="8"/>
      <c r="H46" s="5"/>
    </row>
    <row r="47" spans="1:8">
      <c r="B47" s="8"/>
      <c r="C47" s="8"/>
      <c r="D47" s="8"/>
      <c r="E47" s="8"/>
      <c r="F47" s="8"/>
      <c r="H47" s="5"/>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3"/>
  <sheetViews>
    <sheetView tabSelected="1" view="pageBreakPreview" topLeftCell="A26" zoomScale="70" zoomScaleNormal="100" zoomScaleSheetLayoutView="70" zoomScalePageLayoutView="50" workbookViewId="0">
      <selection activeCell="D3" sqref="D3"/>
    </sheetView>
  </sheetViews>
  <sheetFormatPr defaultColWidth="11.42578125" defaultRowHeight="12.75"/>
  <cols>
    <col min="1" max="1" width="10.42578125" style="655" customWidth="1"/>
    <col min="2" max="2" width="64.5703125" style="3" customWidth="1"/>
    <col min="3" max="3" width="26.5703125" style="3" bestFit="1" customWidth="1"/>
    <col min="4" max="11" width="20.42578125" style="3" customWidth="1"/>
    <col min="12" max="12" width="20" style="3" customWidth="1"/>
    <col min="13" max="14" width="15.140625" style="3" customWidth="1"/>
    <col min="15" max="16384" width="11.42578125" style="3"/>
  </cols>
  <sheetData>
    <row r="1" spans="1:13" ht="15">
      <c r="A1" s="1254" t="s">
        <v>387</v>
      </c>
      <c r="B1" s="1254"/>
      <c r="C1" s="1254"/>
      <c r="D1" s="1254"/>
      <c r="E1" s="1254"/>
      <c r="F1" s="1254"/>
      <c r="G1" s="1254"/>
      <c r="H1" s="76"/>
      <c r="I1" s="76"/>
    </row>
    <row r="2" spans="1:13" ht="15">
      <c r="A2" s="1255" t="str">
        <f>"Cost of Service Formula Rate Using Actual/Projected FF1 Balances"</f>
        <v>Cost of Service Formula Rate Using Actual/Projected FF1 Balances</v>
      </c>
      <c r="B2" s="1255"/>
      <c r="C2" s="1255"/>
      <c r="D2" s="1255"/>
      <c r="E2" s="1255"/>
      <c r="F2" s="1255"/>
      <c r="G2" s="1255"/>
      <c r="H2" s="76"/>
      <c r="I2" s="76"/>
      <c r="J2" s="76"/>
      <c r="L2" s="522"/>
    </row>
    <row r="3" spans="1:13" ht="15">
      <c r="A3" s="1255" t="s">
        <v>653</v>
      </c>
      <c r="B3" s="1255"/>
      <c r="C3" s="1255"/>
      <c r="D3" s="1255"/>
      <c r="E3" s="1255"/>
      <c r="F3" s="1255"/>
      <c r="G3" s="1255"/>
      <c r="H3" s="76"/>
      <c r="I3" s="76"/>
      <c r="J3" s="76"/>
    </row>
    <row r="4" spans="1:13" ht="15">
      <c r="A4" s="1256" t="str">
        <f>TCOS!F9</f>
        <v>WHEELING POWER COMPANY</v>
      </c>
      <c r="B4" s="1256"/>
      <c r="C4" s="1256"/>
      <c r="D4" s="1256"/>
      <c r="E4" s="1256"/>
      <c r="F4" s="1256"/>
      <c r="G4" s="1256"/>
      <c r="H4" s="76"/>
      <c r="I4" s="76"/>
      <c r="J4" s="76"/>
    </row>
    <row r="5" spans="1:13">
      <c r="A5" s="76"/>
      <c r="B5" s="682"/>
      <c r="C5" s="682"/>
      <c r="D5" s="682"/>
      <c r="E5" s="684"/>
      <c r="F5" s="664"/>
      <c r="H5" s="664"/>
      <c r="J5" s="664"/>
      <c r="L5" s="664"/>
    </row>
    <row r="6" spans="1:13" ht="12.75" customHeight="1">
      <c r="A6" s="76"/>
      <c r="B6" s="682"/>
      <c r="C6" s="1257" t="s">
        <v>652</v>
      </c>
      <c r="D6" s="1258"/>
      <c r="E6" s="1258"/>
      <c r="F6" s="1258"/>
      <c r="G6" s="1258"/>
      <c r="H6" s="1258"/>
      <c r="I6" s="1258"/>
      <c r="J6" s="1258"/>
      <c r="K6" s="1258"/>
      <c r="L6" s="1258"/>
      <c r="M6" s="1259"/>
    </row>
    <row r="7" spans="1:13" s="473" customFormat="1" ht="25.5">
      <c r="A7" s="681" t="s">
        <v>642</v>
      </c>
      <c r="B7" s="680" t="s">
        <v>641</v>
      </c>
      <c r="C7" s="668" t="s">
        <v>229</v>
      </c>
      <c r="D7" s="668" t="s">
        <v>650</v>
      </c>
      <c r="E7" s="668" t="s">
        <v>115</v>
      </c>
      <c r="F7" s="668" t="s">
        <v>649</v>
      </c>
      <c r="G7" s="668" t="s">
        <v>438</v>
      </c>
      <c r="H7" s="668" t="s">
        <v>648</v>
      </c>
      <c r="I7" s="668" t="s">
        <v>334</v>
      </c>
      <c r="J7" s="668" t="s">
        <v>647</v>
      </c>
      <c r="K7" s="668" t="s">
        <v>646</v>
      </c>
      <c r="L7" s="668" t="s">
        <v>1259</v>
      </c>
      <c r="M7" s="667" t="s">
        <v>1260</v>
      </c>
    </row>
    <row r="8" spans="1:13" s="663" customFormat="1">
      <c r="A8" s="662"/>
      <c r="B8" s="665" t="s">
        <v>636</v>
      </c>
      <c r="C8" s="664" t="s">
        <v>635</v>
      </c>
      <c r="D8" s="664" t="s">
        <v>634</v>
      </c>
      <c r="E8" s="664" t="s">
        <v>633</v>
      </c>
      <c r="F8" s="664" t="s">
        <v>632</v>
      </c>
      <c r="G8" s="664" t="s">
        <v>654</v>
      </c>
      <c r="H8" s="664" t="s">
        <v>655</v>
      </c>
      <c r="I8" s="664" t="s">
        <v>645</v>
      </c>
      <c r="J8" s="664" t="s">
        <v>644</v>
      </c>
      <c r="K8" s="1201" t="s">
        <v>643</v>
      </c>
      <c r="L8" s="664" t="s">
        <v>1261</v>
      </c>
      <c r="M8" s="665" t="s">
        <v>1262</v>
      </c>
    </row>
    <row r="9" spans="1:13" s="663" customFormat="1" ht="44.25" customHeight="1">
      <c r="A9" s="662"/>
      <c r="B9" s="665" t="s">
        <v>631</v>
      </c>
      <c r="C9" s="1181" t="s">
        <v>441</v>
      </c>
      <c r="D9" s="1181" t="s">
        <v>446</v>
      </c>
      <c r="E9" s="1181" t="s">
        <v>442</v>
      </c>
      <c r="F9" s="1181" t="s">
        <v>656</v>
      </c>
      <c r="G9" s="1181" t="s">
        <v>443</v>
      </c>
      <c r="H9" s="1181" t="s">
        <v>444</v>
      </c>
      <c r="I9" s="1181" t="s">
        <v>657</v>
      </c>
      <c r="J9" s="1181" t="s">
        <v>658</v>
      </c>
      <c r="K9" s="1181" t="s">
        <v>445</v>
      </c>
      <c r="L9" s="1181" t="s">
        <v>1263</v>
      </c>
      <c r="M9" s="1182" t="s">
        <v>1264</v>
      </c>
    </row>
    <row r="10" spans="1:13">
      <c r="A10" s="662">
        <v>1</v>
      </c>
      <c r="B10" s="678" t="s">
        <v>629</v>
      </c>
      <c r="C10" s="1199">
        <v>1280475680.5700004</v>
      </c>
      <c r="D10" s="1199">
        <v>30350117.379999999</v>
      </c>
      <c r="E10" s="1199">
        <v>171002026.70000002</v>
      </c>
      <c r="F10" s="1199">
        <v>0</v>
      </c>
      <c r="G10" s="1199">
        <v>302437301.13</v>
      </c>
      <c r="H10" s="1199">
        <v>0</v>
      </c>
      <c r="I10" s="1199">
        <v>13553521.419999998</v>
      </c>
      <c r="J10" s="1199">
        <v>151294.73000000001</v>
      </c>
      <c r="K10" s="1199">
        <v>14731627.720000001</v>
      </c>
      <c r="L10" s="1199">
        <v>0</v>
      </c>
      <c r="M10" s="1199">
        <v>0</v>
      </c>
    </row>
    <row r="11" spans="1:13">
      <c r="A11" s="662">
        <f>+A10+1</f>
        <v>2</v>
      </c>
      <c r="B11" s="678" t="s">
        <v>185</v>
      </c>
      <c r="C11" s="1199">
        <v>1280859308.52</v>
      </c>
      <c r="D11" s="1199">
        <v>30350117.379999999</v>
      </c>
      <c r="E11" s="1199">
        <v>171072361.25000003</v>
      </c>
      <c r="F11" s="1199">
        <v>0</v>
      </c>
      <c r="G11" s="1199">
        <v>303132205.44999993</v>
      </c>
      <c r="H11" s="1199">
        <v>0</v>
      </c>
      <c r="I11" s="1199">
        <v>27856287.52</v>
      </c>
      <c r="J11" s="1199">
        <v>151294.73000000001</v>
      </c>
      <c r="K11" s="1199">
        <v>0</v>
      </c>
      <c r="L11" s="1199">
        <v>0</v>
      </c>
      <c r="M11" s="1199">
        <v>0</v>
      </c>
    </row>
    <row r="12" spans="1:13">
      <c r="A12" s="662">
        <f t="shared" ref="A12:A23" si="0">+A11+1</f>
        <v>3</v>
      </c>
      <c r="B12" s="677" t="s">
        <v>558</v>
      </c>
      <c r="C12" s="1199">
        <v>1280961222.2300003</v>
      </c>
      <c r="D12" s="1199">
        <v>30350117.379999999</v>
      </c>
      <c r="E12" s="1199">
        <v>171125633.56000003</v>
      </c>
      <c r="F12" s="1199">
        <v>0</v>
      </c>
      <c r="G12" s="1199">
        <v>304202757.44999987</v>
      </c>
      <c r="H12" s="1199">
        <v>0</v>
      </c>
      <c r="I12" s="1199">
        <v>28436854.100000001</v>
      </c>
      <c r="J12" s="1199">
        <v>151294.73000000001</v>
      </c>
      <c r="K12" s="1199">
        <v>0</v>
      </c>
      <c r="L12" s="1199">
        <v>0</v>
      </c>
      <c r="M12" s="1199">
        <v>0</v>
      </c>
    </row>
    <row r="13" spans="1:13">
      <c r="A13" s="662">
        <f t="shared" si="0"/>
        <v>4</v>
      </c>
      <c r="B13" s="677" t="s">
        <v>628</v>
      </c>
      <c r="C13" s="1199">
        <v>1281868059.2000005</v>
      </c>
      <c r="D13" s="1199">
        <v>30350117.379999999</v>
      </c>
      <c r="E13" s="1199">
        <v>174171086.34</v>
      </c>
      <c r="F13" s="1199">
        <v>0</v>
      </c>
      <c r="G13" s="1199">
        <v>305263256.13999999</v>
      </c>
      <c r="H13" s="1199">
        <v>0</v>
      </c>
      <c r="I13" s="1199">
        <v>28227440.27</v>
      </c>
      <c r="J13" s="1199">
        <v>151294.73000000001</v>
      </c>
      <c r="K13" s="1199">
        <v>0</v>
      </c>
      <c r="L13" s="1199">
        <v>0</v>
      </c>
      <c r="M13" s="1199">
        <v>0</v>
      </c>
    </row>
    <row r="14" spans="1:13">
      <c r="A14" s="662">
        <f t="shared" si="0"/>
        <v>5</v>
      </c>
      <c r="B14" s="677" t="s">
        <v>187</v>
      </c>
      <c r="C14" s="1199">
        <v>1282134224.6300001</v>
      </c>
      <c r="D14" s="1199">
        <v>30350117.379999999</v>
      </c>
      <c r="E14" s="1199">
        <v>173987856.67999998</v>
      </c>
      <c r="F14" s="1199">
        <v>0</v>
      </c>
      <c r="G14" s="1199">
        <v>307080517.0200001</v>
      </c>
      <c r="H14" s="1199">
        <v>0</v>
      </c>
      <c r="I14" s="1199">
        <v>28435772.299999997</v>
      </c>
      <c r="J14" s="1199">
        <v>151294.73000000001</v>
      </c>
      <c r="K14" s="1199">
        <v>0</v>
      </c>
      <c r="L14" s="1199">
        <v>0</v>
      </c>
      <c r="M14" s="1199">
        <v>0</v>
      </c>
    </row>
    <row r="15" spans="1:13">
      <c r="A15" s="662">
        <f t="shared" si="0"/>
        <v>6</v>
      </c>
      <c r="B15" s="677" t="s">
        <v>188</v>
      </c>
      <c r="C15" s="1199">
        <v>1283267809.7100003</v>
      </c>
      <c r="D15" s="1199">
        <v>30350117.379999999</v>
      </c>
      <c r="E15" s="1199">
        <v>176857701.70999998</v>
      </c>
      <c r="F15" s="1199">
        <v>0</v>
      </c>
      <c r="G15" s="1199">
        <v>308934621.88000011</v>
      </c>
      <c r="H15" s="1199">
        <v>0</v>
      </c>
      <c r="I15" s="1199">
        <v>28682032.15000001</v>
      </c>
      <c r="J15" s="1199">
        <v>151294.73000000001</v>
      </c>
      <c r="K15" s="1199">
        <v>0</v>
      </c>
      <c r="L15" s="1199">
        <v>0</v>
      </c>
      <c r="M15" s="1199">
        <v>0</v>
      </c>
    </row>
    <row r="16" spans="1:13">
      <c r="A16" s="662">
        <f t="shared" si="0"/>
        <v>7</v>
      </c>
      <c r="B16" s="677" t="s">
        <v>382</v>
      </c>
      <c r="C16" s="1199">
        <v>1292218864.1899998</v>
      </c>
      <c r="D16" s="1199">
        <v>30350117.379999999</v>
      </c>
      <c r="E16" s="1199">
        <v>177017291.28</v>
      </c>
      <c r="F16" s="1199">
        <v>0</v>
      </c>
      <c r="G16" s="1199">
        <v>310456693.54000014</v>
      </c>
      <c r="H16" s="1199">
        <v>0</v>
      </c>
      <c r="I16" s="1199">
        <v>28412172.440000009</v>
      </c>
      <c r="J16" s="1199">
        <v>-60955.600000000006</v>
      </c>
      <c r="K16" s="1199">
        <v>0</v>
      </c>
      <c r="L16" s="1199">
        <v>0</v>
      </c>
      <c r="M16" s="1199">
        <v>0</v>
      </c>
    </row>
    <row r="17" spans="1:13">
      <c r="A17" s="662">
        <f t="shared" si="0"/>
        <v>8</v>
      </c>
      <c r="B17" s="677" t="s">
        <v>189</v>
      </c>
      <c r="C17" s="1199">
        <v>1292445797.0799999</v>
      </c>
      <c r="D17" s="1199">
        <v>30350117.379999999</v>
      </c>
      <c r="E17" s="1199">
        <v>183065307.40000007</v>
      </c>
      <c r="F17" s="1199">
        <v>0</v>
      </c>
      <c r="G17" s="1199">
        <v>313835497.4600001</v>
      </c>
      <c r="H17" s="1199">
        <v>0</v>
      </c>
      <c r="I17" s="1199">
        <v>28705700.220000003</v>
      </c>
      <c r="J17" s="1199">
        <v>-60955.600000000006</v>
      </c>
      <c r="K17" s="1199">
        <v>0</v>
      </c>
      <c r="L17" s="1199">
        <v>0</v>
      </c>
      <c r="M17" s="1199">
        <v>0</v>
      </c>
    </row>
    <row r="18" spans="1:13">
      <c r="A18" s="662">
        <f t="shared" si="0"/>
        <v>9</v>
      </c>
      <c r="B18" s="677" t="s">
        <v>627</v>
      </c>
      <c r="C18" s="1199">
        <v>1292863474.5000005</v>
      </c>
      <c r="D18" s="1199">
        <v>30350117.379999999</v>
      </c>
      <c r="E18" s="1199">
        <v>183753897.78000006</v>
      </c>
      <c r="F18" s="1199">
        <v>0</v>
      </c>
      <c r="G18" s="1199">
        <v>318262087.51000005</v>
      </c>
      <c r="H18" s="1199">
        <v>0</v>
      </c>
      <c r="I18" s="1199">
        <v>29071601.550000004</v>
      </c>
      <c r="J18" s="1199">
        <v>-60955.600000000006</v>
      </c>
      <c r="K18" s="1199">
        <v>0</v>
      </c>
      <c r="L18" s="1199">
        <v>0</v>
      </c>
      <c r="M18" s="1199">
        <v>0</v>
      </c>
    </row>
    <row r="19" spans="1:13">
      <c r="A19" s="662">
        <f t="shared" si="0"/>
        <v>10</v>
      </c>
      <c r="B19" s="677" t="s">
        <v>192</v>
      </c>
      <c r="C19" s="1199">
        <v>1293644003.6900003</v>
      </c>
      <c r="D19" s="1199">
        <v>30350117.379999999</v>
      </c>
      <c r="E19" s="1199">
        <v>183896768.17000002</v>
      </c>
      <c r="F19" s="1199">
        <v>0</v>
      </c>
      <c r="G19" s="1199">
        <v>320195884.58999997</v>
      </c>
      <c r="H19" s="1199">
        <v>0</v>
      </c>
      <c r="I19" s="1199">
        <v>28842524.779999994</v>
      </c>
      <c r="J19" s="1199">
        <v>-60955.600000000006</v>
      </c>
      <c r="K19" s="1199">
        <v>0</v>
      </c>
      <c r="L19" s="1199">
        <v>0</v>
      </c>
      <c r="M19" s="1199">
        <v>0</v>
      </c>
    </row>
    <row r="20" spans="1:13">
      <c r="A20" s="662">
        <f t="shared" si="0"/>
        <v>11</v>
      </c>
      <c r="B20" s="677" t="s">
        <v>559</v>
      </c>
      <c r="C20" s="1199">
        <v>1294468641.8500001</v>
      </c>
      <c r="D20" s="1199">
        <v>30350117.379999999</v>
      </c>
      <c r="E20" s="1199">
        <v>183928007.34000006</v>
      </c>
      <c r="F20" s="1199">
        <v>0</v>
      </c>
      <c r="G20" s="1199">
        <v>323210576.90999997</v>
      </c>
      <c r="H20" s="1199">
        <v>0</v>
      </c>
      <c r="I20" s="1199">
        <v>29289409.329999994</v>
      </c>
      <c r="J20" s="1199">
        <v>-60955.600000000006</v>
      </c>
      <c r="K20" s="1199">
        <v>0</v>
      </c>
      <c r="L20" s="1199">
        <v>0</v>
      </c>
      <c r="M20" s="1199">
        <v>0</v>
      </c>
    </row>
    <row r="21" spans="1:13">
      <c r="A21" s="662">
        <f t="shared" si="0"/>
        <v>12</v>
      </c>
      <c r="B21" s="677" t="s">
        <v>560</v>
      </c>
      <c r="C21" s="1199">
        <v>1321902166.1600003</v>
      </c>
      <c r="D21" s="1199">
        <v>30350117.379999999</v>
      </c>
      <c r="E21" s="1199">
        <v>184422567.21000001</v>
      </c>
      <c r="F21" s="1199">
        <v>0</v>
      </c>
      <c r="G21" s="1199">
        <v>326928923.41999984</v>
      </c>
      <c r="H21" s="1199">
        <v>0</v>
      </c>
      <c r="I21" s="1199">
        <v>29417239.140000008</v>
      </c>
      <c r="J21" s="1199">
        <v>-60955.600000000006</v>
      </c>
      <c r="K21" s="1199">
        <v>0</v>
      </c>
      <c r="L21" s="1199">
        <v>0</v>
      </c>
      <c r="M21" s="1199">
        <v>0</v>
      </c>
    </row>
    <row r="22" spans="1:13">
      <c r="A22" s="661">
        <f t="shared" si="0"/>
        <v>13</v>
      </c>
      <c r="B22" s="676" t="s">
        <v>626</v>
      </c>
      <c r="C22" s="1199">
        <v>1324052083.4399998</v>
      </c>
      <c r="D22" s="1199">
        <v>30350117.379999999</v>
      </c>
      <c r="E22" s="1199">
        <v>184466118.79999998</v>
      </c>
      <c r="F22" s="1199">
        <v>0</v>
      </c>
      <c r="G22" s="1199">
        <v>332151290.57000005</v>
      </c>
      <c r="H22" s="1199">
        <v>0</v>
      </c>
      <c r="I22" s="1199">
        <v>29939497.290000003</v>
      </c>
      <c r="J22" s="1199">
        <v>-60955.600000000006</v>
      </c>
      <c r="K22" s="1199">
        <v>0</v>
      </c>
      <c r="L22" s="1199">
        <v>0</v>
      </c>
      <c r="M22" s="1199">
        <v>0</v>
      </c>
    </row>
    <row r="23" spans="1:13" ht="13.5" thickBot="1">
      <c r="A23" s="866">
        <f t="shared" si="0"/>
        <v>14</v>
      </c>
      <c r="B23" s="867" t="s">
        <v>852</v>
      </c>
      <c r="C23" s="1184">
        <f>SUM(C10:C22)/13</f>
        <v>1292397025.8284616</v>
      </c>
      <c r="D23" s="1184">
        <f>SUM(D10:D22)/13</f>
        <v>30350117.379999999</v>
      </c>
      <c r="E23" s="1184">
        <f t="shared" ref="E23:M23" si="1">SUM(E10:E22)/13</f>
        <v>178366663.40153849</v>
      </c>
      <c r="F23" s="1184">
        <f t="shared" si="1"/>
        <v>0</v>
      </c>
      <c r="G23" s="1184">
        <f t="shared" si="1"/>
        <v>313545508.69769233</v>
      </c>
      <c r="H23" s="1184">
        <f t="shared" si="1"/>
        <v>0</v>
      </c>
      <c r="I23" s="1184">
        <f t="shared" si="1"/>
        <v>27605388.654615384</v>
      </c>
      <c r="J23" s="1184">
        <f t="shared" si="1"/>
        <v>37006.090769230781</v>
      </c>
      <c r="K23" s="1184">
        <f t="shared" si="1"/>
        <v>1133202.1323076924</v>
      </c>
      <c r="L23" s="1184">
        <f t="shared" si="1"/>
        <v>0</v>
      </c>
      <c r="M23" s="1185">
        <f t="shared" si="1"/>
        <v>0</v>
      </c>
    </row>
    <row r="24" spans="1:13" ht="13.5" thickTop="1">
      <c r="A24" s="76"/>
      <c r="B24" s="657"/>
      <c r="C24" s="673"/>
      <c r="D24" s="656"/>
      <c r="E24" s="656"/>
      <c r="F24" s="656"/>
      <c r="G24" s="673"/>
      <c r="H24" s="673"/>
      <c r="I24" s="673"/>
      <c r="J24" s="683"/>
      <c r="K24" s="683"/>
    </row>
    <row r="25" spans="1:13" ht="12.75" customHeight="1">
      <c r="A25" s="76"/>
      <c r="B25" s="682"/>
      <c r="C25" s="1251" t="s">
        <v>651</v>
      </c>
      <c r="D25" s="1252"/>
      <c r="E25" s="1252"/>
      <c r="F25" s="1252"/>
      <c r="G25" s="1252"/>
      <c r="H25" s="1252"/>
      <c r="I25" s="1252"/>
      <c r="J25" s="1252"/>
      <c r="K25" s="1252"/>
      <c r="L25" s="1252"/>
      <c r="M25" s="1253"/>
    </row>
    <row r="26" spans="1:13" s="473" customFormat="1" ht="25.5">
      <c r="A26" s="681" t="s">
        <v>642</v>
      </c>
      <c r="B26" s="680" t="s">
        <v>641</v>
      </c>
      <c r="C26" s="668" t="s">
        <v>229</v>
      </c>
      <c r="D26" s="668" t="s">
        <v>650</v>
      </c>
      <c r="E26" s="668" t="s">
        <v>115</v>
      </c>
      <c r="F26" s="668" t="s">
        <v>649</v>
      </c>
      <c r="G26" s="668" t="s">
        <v>438</v>
      </c>
      <c r="H26" s="668" t="s">
        <v>648</v>
      </c>
      <c r="I26" s="668" t="s">
        <v>334</v>
      </c>
      <c r="J26" s="668" t="s">
        <v>647</v>
      </c>
      <c r="K26" s="668" t="s">
        <v>646</v>
      </c>
      <c r="L26" s="668" t="s">
        <v>1259</v>
      </c>
      <c r="M26" s="667" t="s">
        <v>1260</v>
      </c>
    </row>
    <row r="27" spans="1:13" s="663" customFormat="1">
      <c r="A27" s="662"/>
      <c r="B27" s="665" t="s">
        <v>636</v>
      </c>
      <c r="C27" s="664" t="s">
        <v>635</v>
      </c>
      <c r="D27" s="664" t="s">
        <v>634</v>
      </c>
      <c r="E27" s="664" t="s">
        <v>633</v>
      </c>
      <c r="F27" s="664" t="s">
        <v>632</v>
      </c>
      <c r="G27" s="664" t="s">
        <v>654</v>
      </c>
      <c r="H27" s="664" t="s">
        <v>655</v>
      </c>
      <c r="I27" s="664" t="s">
        <v>645</v>
      </c>
      <c r="J27" s="664" t="s">
        <v>644</v>
      </c>
      <c r="K27" s="1201" t="s">
        <v>643</v>
      </c>
      <c r="L27" s="664" t="s">
        <v>1261</v>
      </c>
      <c r="M27" s="665" t="s">
        <v>1262</v>
      </c>
    </row>
    <row r="28" spans="1:13" s="663" customFormat="1" ht="44.25" customHeight="1">
      <c r="A28" s="662"/>
      <c r="B28" s="665" t="s">
        <v>631</v>
      </c>
      <c r="C28" s="1181" t="s">
        <v>379</v>
      </c>
      <c r="D28" s="1181" t="s">
        <v>659</v>
      </c>
      <c r="E28" s="1181" t="s">
        <v>380</v>
      </c>
      <c r="F28" s="1181" t="s">
        <v>660</v>
      </c>
      <c r="G28" s="1181" t="s">
        <v>506</v>
      </c>
      <c r="H28" s="1181" t="s">
        <v>661</v>
      </c>
      <c r="I28" s="1181" t="s">
        <v>480</v>
      </c>
      <c r="J28" s="1181" t="s">
        <v>662</v>
      </c>
      <c r="K28" s="1181" t="s">
        <v>507</v>
      </c>
      <c r="L28" s="1181" t="s">
        <v>1265</v>
      </c>
      <c r="M28" s="1182" t="s">
        <v>661</v>
      </c>
    </row>
    <row r="29" spans="1:13">
      <c r="A29" s="662">
        <f>+A23+1</f>
        <v>15</v>
      </c>
      <c r="B29" s="678" t="s">
        <v>629</v>
      </c>
      <c r="C29" s="1199">
        <v>534803029.93000001</v>
      </c>
      <c r="D29" s="1199">
        <v>4536355.51</v>
      </c>
      <c r="E29" s="1199">
        <v>43087689.920000009</v>
      </c>
      <c r="F29" s="1199">
        <v>0</v>
      </c>
      <c r="G29" s="1199">
        <v>90465512.579999983</v>
      </c>
      <c r="H29" s="1199">
        <v>0</v>
      </c>
      <c r="I29" s="1199">
        <v>4827511.879999999</v>
      </c>
      <c r="J29" s="1199">
        <v>94144.920000000013</v>
      </c>
      <c r="K29" s="1199">
        <v>5703668.1900000004</v>
      </c>
      <c r="L29" s="1199">
        <v>0</v>
      </c>
      <c r="M29" s="1199">
        <v>0</v>
      </c>
    </row>
    <row r="30" spans="1:13">
      <c r="A30" s="662">
        <f>+A29+1</f>
        <v>16</v>
      </c>
      <c r="B30" s="678" t="s">
        <v>185</v>
      </c>
      <c r="C30" s="1199">
        <v>537654634.84000003</v>
      </c>
      <c r="D30" s="1199">
        <v>4673213.33</v>
      </c>
      <c r="E30" s="1199">
        <v>43361178.560000002</v>
      </c>
      <c r="F30" s="1199">
        <v>0</v>
      </c>
      <c r="G30" s="1199">
        <v>91310230.099999994</v>
      </c>
      <c r="H30" s="1199">
        <v>0</v>
      </c>
      <c r="I30" s="1199">
        <v>10809071.209999997</v>
      </c>
      <c r="J30" s="1199">
        <v>94846.58</v>
      </c>
      <c r="K30" s="1199">
        <v>0</v>
      </c>
      <c r="L30" s="1199">
        <v>0</v>
      </c>
      <c r="M30" s="1199">
        <v>0</v>
      </c>
    </row>
    <row r="31" spans="1:13">
      <c r="A31" s="662">
        <f t="shared" ref="A31:A42" si="2">+A30+1</f>
        <v>17</v>
      </c>
      <c r="B31" s="677" t="s">
        <v>558</v>
      </c>
      <c r="C31" s="1199">
        <v>540307672.38999999</v>
      </c>
      <c r="D31" s="1199">
        <v>4810071.18</v>
      </c>
      <c r="E31" s="1199">
        <v>40192696.019999996</v>
      </c>
      <c r="F31" s="1199">
        <v>0</v>
      </c>
      <c r="G31" s="1199">
        <v>92146484.950000003</v>
      </c>
      <c r="H31" s="1199">
        <v>0</v>
      </c>
      <c r="I31" s="1199">
        <v>11120806</v>
      </c>
      <c r="J31" s="1199">
        <v>95548.239999999991</v>
      </c>
      <c r="K31" s="1199">
        <v>0</v>
      </c>
      <c r="L31" s="1199">
        <v>0</v>
      </c>
      <c r="M31" s="1199">
        <v>0</v>
      </c>
    </row>
    <row r="32" spans="1:13">
      <c r="A32" s="662">
        <f t="shared" si="2"/>
        <v>18</v>
      </c>
      <c r="B32" s="677" t="s">
        <v>628</v>
      </c>
      <c r="C32" s="1199">
        <v>542636483.18999994</v>
      </c>
      <c r="D32" s="1199">
        <v>4946928.91</v>
      </c>
      <c r="E32" s="1199">
        <v>40444955.079999998</v>
      </c>
      <c r="F32" s="1199">
        <v>0</v>
      </c>
      <c r="G32" s="1199">
        <v>92797810.519999996</v>
      </c>
      <c r="H32" s="1199">
        <v>0</v>
      </c>
      <c r="I32" s="1199">
        <v>10947935.829999998</v>
      </c>
      <c r="J32" s="1199">
        <v>96249.900000000009</v>
      </c>
      <c r="K32" s="1199">
        <v>0</v>
      </c>
      <c r="L32" s="1199">
        <v>0</v>
      </c>
      <c r="M32" s="1199">
        <v>0</v>
      </c>
    </row>
    <row r="33" spans="1:13">
      <c r="A33" s="662">
        <f t="shared" si="2"/>
        <v>19</v>
      </c>
      <c r="B33" s="677" t="s">
        <v>187</v>
      </c>
      <c r="C33" s="1199">
        <v>544819087.00999987</v>
      </c>
      <c r="D33" s="1199">
        <v>5083786.66</v>
      </c>
      <c r="E33" s="1199">
        <v>40020177.300000004</v>
      </c>
      <c r="F33" s="1199">
        <v>0</v>
      </c>
      <c r="G33" s="1199">
        <v>93401199.13000001</v>
      </c>
      <c r="H33" s="1199">
        <v>0</v>
      </c>
      <c r="I33" s="1199">
        <v>11221568.34</v>
      </c>
      <c r="J33" s="1199">
        <v>96951.56</v>
      </c>
      <c r="K33" s="1199">
        <v>0</v>
      </c>
      <c r="L33" s="1199">
        <v>0</v>
      </c>
      <c r="M33" s="1199">
        <v>0</v>
      </c>
    </row>
    <row r="34" spans="1:13">
      <c r="A34" s="662">
        <f t="shared" si="2"/>
        <v>20</v>
      </c>
      <c r="B34" s="677" t="s">
        <v>188</v>
      </c>
      <c r="C34" s="1199">
        <v>547638127.24000025</v>
      </c>
      <c r="D34" s="1199">
        <v>5220644.5199999996</v>
      </c>
      <c r="E34" s="1199">
        <v>39843104.600000001</v>
      </c>
      <c r="F34" s="1199">
        <v>0</v>
      </c>
      <c r="G34" s="1199">
        <v>94123022.760000005</v>
      </c>
      <c r="H34" s="1199">
        <v>0</v>
      </c>
      <c r="I34" s="1199">
        <v>11518126.279999996</v>
      </c>
      <c r="J34" s="1199">
        <v>97653.22</v>
      </c>
      <c r="K34" s="1199">
        <v>0</v>
      </c>
      <c r="L34" s="1199">
        <v>0</v>
      </c>
      <c r="M34" s="1199">
        <v>0</v>
      </c>
    </row>
    <row r="35" spans="1:13">
      <c r="A35" s="662">
        <f t="shared" si="2"/>
        <v>21</v>
      </c>
      <c r="B35" s="677" t="s">
        <v>382</v>
      </c>
      <c r="C35" s="1199">
        <v>547645814.59000003</v>
      </c>
      <c r="D35" s="1199">
        <v>5357502.4399999995</v>
      </c>
      <c r="E35" s="1199">
        <v>40192003.849999994</v>
      </c>
      <c r="F35" s="1199">
        <v>0</v>
      </c>
      <c r="G35" s="1199">
        <v>94949210.539999992</v>
      </c>
      <c r="H35" s="1199">
        <v>0</v>
      </c>
      <c r="I35" s="1199">
        <v>11565501.860000001</v>
      </c>
      <c r="J35" s="1199">
        <v>98354.880000000005</v>
      </c>
      <c r="K35" s="1199">
        <v>0</v>
      </c>
      <c r="L35" s="1199">
        <v>0</v>
      </c>
      <c r="M35" s="1199">
        <v>0</v>
      </c>
    </row>
    <row r="36" spans="1:13">
      <c r="A36" s="662">
        <f t="shared" si="2"/>
        <v>22</v>
      </c>
      <c r="B36" s="677" t="s">
        <v>189</v>
      </c>
      <c r="C36" s="1199">
        <v>550799290.73999989</v>
      </c>
      <c r="D36" s="1199">
        <v>5494360.2500000009</v>
      </c>
      <c r="E36" s="1199">
        <v>40050587.659999996</v>
      </c>
      <c r="F36" s="1199">
        <v>0</v>
      </c>
      <c r="G36" s="1199">
        <v>95632450.409999996</v>
      </c>
      <c r="H36" s="1199">
        <v>0</v>
      </c>
      <c r="I36" s="1199">
        <v>11842694.710000003</v>
      </c>
      <c r="J36" s="1199">
        <v>97288.2</v>
      </c>
      <c r="K36" s="1199">
        <v>0</v>
      </c>
      <c r="L36" s="1199">
        <v>0</v>
      </c>
      <c r="M36" s="1199">
        <v>0</v>
      </c>
    </row>
    <row r="37" spans="1:13">
      <c r="A37" s="662">
        <f t="shared" si="2"/>
        <v>23</v>
      </c>
      <c r="B37" s="677" t="s">
        <v>627</v>
      </c>
      <c r="C37" s="1199">
        <v>553488293.98999989</v>
      </c>
      <c r="D37" s="1199">
        <v>5631217.96</v>
      </c>
      <c r="E37" s="1199">
        <v>40177512.490000002</v>
      </c>
      <c r="F37" s="1199">
        <v>0</v>
      </c>
      <c r="G37" s="1199">
        <v>96152199.939999998</v>
      </c>
      <c r="H37" s="1199">
        <v>0</v>
      </c>
      <c r="I37" s="1199">
        <v>12120895.270000003</v>
      </c>
      <c r="J37" s="1199">
        <v>96221.52</v>
      </c>
      <c r="K37" s="1199">
        <v>0</v>
      </c>
      <c r="L37" s="1199">
        <v>0</v>
      </c>
      <c r="M37" s="1199">
        <v>0</v>
      </c>
    </row>
    <row r="38" spans="1:13">
      <c r="A38" s="662">
        <f t="shared" si="2"/>
        <v>24</v>
      </c>
      <c r="B38" s="677" t="s">
        <v>192</v>
      </c>
      <c r="C38" s="1199">
        <v>556275272.62999976</v>
      </c>
      <c r="D38" s="1199">
        <v>5768075.6800000006</v>
      </c>
      <c r="E38" s="1199">
        <v>40593291.150000006</v>
      </c>
      <c r="F38" s="1199">
        <v>0</v>
      </c>
      <c r="G38" s="1199">
        <v>96707136.089999989</v>
      </c>
      <c r="H38" s="1199">
        <v>0</v>
      </c>
      <c r="I38" s="1199">
        <v>11833381.680000003</v>
      </c>
      <c r="J38" s="1199">
        <v>95154.84</v>
      </c>
      <c r="K38" s="1199">
        <v>0</v>
      </c>
      <c r="L38" s="1199">
        <v>0</v>
      </c>
      <c r="M38" s="1199">
        <v>0</v>
      </c>
    </row>
    <row r="39" spans="1:13">
      <c r="A39" s="662">
        <f t="shared" si="2"/>
        <v>25</v>
      </c>
      <c r="B39" s="677" t="s">
        <v>559</v>
      </c>
      <c r="C39" s="1199">
        <v>559175983.38999999</v>
      </c>
      <c r="D39" s="1199">
        <v>5904933.580000001</v>
      </c>
      <c r="E39" s="1199">
        <v>40878147.510000005</v>
      </c>
      <c r="F39" s="1199">
        <v>0</v>
      </c>
      <c r="G39" s="1199">
        <v>97371811.490000024</v>
      </c>
      <c r="H39" s="1199">
        <v>0</v>
      </c>
      <c r="I39" s="1199">
        <v>12127866.040000003</v>
      </c>
      <c r="J39" s="1199">
        <v>94088.16</v>
      </c>
      <c r="K39" s="1199">
        <v>0</v>
      </c>
      <c r="L39" s="1199">
        <v>0</v>
      </c>
      <c r="M39" s="1199">
        <v>0</v>
      </c>
    </row>
    <row r="40" spans="1:13">
      <c r="A40" s="662">
        <f t="shared" si="2"/>
        <v>26</v>
      </c>
      <c r="B40" s="677" t="s">
        <v>560</v>
      </c>
      <c r="C40" s="1199">
        <v>562143265.42999995</v>
      </c>
      <c r="D40" s="1199">
        <v>6041791.3099999996</v>
      </c>
      <c r="E40" s="1199">
        <v>41384255.899999999</v>
      </c>
      <c r="F40" s="1199">
        <v>0</v>
      </c>
      <c r="G40" s="1199">
        <v>97379564.900000036</v>
      </c>
      <c r="H40" s="1199">
        <v>0</v>
      </c>
      <c r="I40" s="1199">
        <v>12421237.700000001</v>
      </c>
      <c r="J40" s="1199">
        <v>93021.48000000001</v>
      </c>
      <c r="K40" s="1199">
        <v>0</v>
      </c>
      <c r="L40" s="1199">
        <v>0</v>
      </c>
      <c r="M40" s="1199">
        <v>0</v>
      </c>
    </row>
    <row r="41" spans="1:13">
      <c r="A41" s="661">
        <f t="shared" si="2"/>
        <v>27</v>
      </c>
      <c r="B41" s="676" t="s">
        <v>626</v>
      </c>
      <c r="C41" s="1199">
        <v>564216785.68999994</v>
      </c>
      <c r="D41" s="1199">
        <v>6178649.1000000006</v>
      </c>
      <c r="E41" s="1199">
        <v>41675494.950000003</v>
      </c>
      <c r="F41" s="1199">
        <v>0</v>
      </c>
      <c r="G41" s="1199">
        <v>97131957.659999996</v>
      </c>
      <c r="H41" s="1199">
        <v>0</v>
      </c>
      <c r="I41" s="1199">
        <v>12275907.269999998</v>
      </c>
      <c r="J41" s="1199">
        <v>91954.8</v>
      </c>
      <c r="K41" s="1199">
        <v>0</v>
      </c>
      <c r="L41" s="1199">
        <v>0</v>
      </c>
      <c r="M41" s="1199">
        <v>0</v>
      </c>
    </row>
    <row r="42" spans="1:13" ht="13.5" thickBot="1">
      <c r="A42" s="675">
        <f t="shared" si="2"/>
        <v>28</v>
      </c>
      <c r="B42" s="867" t="s">
        <v>852</v>
      </c>
      <c r="C42" s="1184">
        <f>SUM(C29:C41)/13</f>
        <v>549354133.92769229</v>
      </c>
      <c r="D42" s="1184">
        <f t="shared" ref="D42:M42" si="3">SUM(D29:D41)/13</f>
        <v>5357502.3407692304</v>
      </c>
      <c r="E42" s="1184">
        <f t="shared" si="3"/>
        <v>40915468.845384613</v>
      </c>
      <c r="F42" s="1184">
        <f t="shared" si="3"/>
        <v>0</v>
      </c>
      <c r="G42" s="1184">
        <f t="shared" si="3"/>
        <v>94582199.313076913</v>
      </c>
      <c r="H42" s="1184">
        <f t="shared" si="3"/>
        <v>0</v>
      </c>
      <c r="I42" s="1184">
        <f t="shared" si="3"/>
        <v>11125577.236153848</v>
      </c>
      <c r="J42" s="1184">
        <f t="shared" si="3"/>
        <v>95498.330769230772</v>
      </c>
      <c r="K42" s="1184">
        <f t="shared" si="3"/>
        <v>438743.70692307694</v>
      </c>
      <c r="L42" s="1184">
        <f t="shared" si="3"/>
        <v>0</v>
      </c>
      <c r="M42" s="1185">
        <f t="shared" si="3"/>
        <v>0</v>
      </c>
    </row>
    <row r="43" spans="1:13" ht="13.5" thickTop="1">
      <c r="A43" s="76"/>
      <c r="B43" s="657"/>
      <c r="C43" s="673"/>
      <c r="D43" s="656"/>
      <c r="E43" s="656"/>
      <c r="F43" s="656"/>
      <c r="G43" s="673"/>
      <c r="H43"/>
      <c r="I43"/>
      <c r="J43"/>
      <c r="K43"/>
    </row>
    <row r="44" spans="1:13">
      <c r="A44" s="76"/>
      <c r="B44" s="657"/>
      <c r="C44" s="673"/>
      <c r="D44" s="656"/>
      <c r="E44" s="656"/>
      <c r="F44" s="656"/>
      <c r="G44" s="673"/>
      <c r="H44" s="673"/>
      <c r="I44" s="673"/>
    </row>
    <row r="45" spans="1:13">
      <c r="A45" s="672"/>
      <c r="B45" s="671"/>
      <c r="C45" s="1197"/>
      <c r="D45" s="1186"/>
      <c r="E45" s="1186"/>
      <c r="F45" s="1186"/>
      <c r="G45" s="1186"/>
      <c r="H45" s="1187"/>
      <c r="I45"/>
      <c r="J45"/>
      <c r="K45"/>
    </row>
    <row r="46" spans="1:13" ht="72" customHeight="1">
      <c r="A46" s="670" t="s">
        <v>642</v>
      </c>
      <c r="B46" s="664" t="s">
        <v>641</v>
      </c>
      <c r="C46" s="669" t="s">
        <v>640</v>
      </c>
      <c r="D46" s="668" t="s">
        <v>639</v>
      </c>
      <c r="E46" s="668" t="s">
        <v>638</v>
      </c>
      <c r="F46" s="668" t="s">
        <v>637</v>
      </c>
      <c r="G46" s="668" t="s">
        <v>1266</v>
      </c>
      <c r="H46" s="667" t="s">
        <v>1267</v>
      </c>
      <c r="I46"/>
      <c r="J46"/>
      <c r="K46"/>
    </row>
    <row r="47" spans="1:13" s="663" customFormat="1">
      <c r="A47" s="662"/>
      <c r="B47" s="664" t="s">
        <v>636</v>
      </c>
      <c r="C47" s="666" t="s">
        <v>635</v>
      </c>
      <c r="D47" s="664" t="s">
        <v>634</v>
      </c>
      <c r="E47" s="664" t="s">
        <v>633</v>
      </c>
      <c r="F47" s="664" t="s">
        <v>632</v>
      </c>
      <c r="G47" s="664" t="s">
        <v>654</v>
      </c>
      <c r="H47" s="665" t="s">
        <v>655</v>
      </c>
      <c r="I47"/>
      <c r="J47"/>
      <c r="K47"/>
      <c r="L47" s="3"/>
    </row>
    <row r="48" spans="1:13" s="663" customFormat="1" ht="63.75">
      <c r="A48" s="662"/>
      <c r="B48" s="664" t="s">
        <v>631</v>
      </c>
      <c r="C48" s="1198" t="s">
        <v>663</v>
      </c>
      <c r="D48" s="1188" t="s">
        <v>664</v>
      </c>
      <c r="E48" s="1188" t="s">
        <v>630</v>
      </c>
      <c r="F48" s="1188" t="s">
        <v>630</v>
      </c>
      <c r="G48" s="1188" t="s">
        <v>630</v>
      </c>
      <c r="H48" s="1189" t="s">
        <v>630</v>
      </c>
      <c r="I48"/>
      <c r="J48"/>
      <c r="K48"/>
      <c r="L48" s="3"/>
    </row>
    <row r="49" spans="1:11">
      <c r="A49" s="662">
        <f>+A42+1</f>
        <v>29</v>
      </c>
      <c r="B49" s="678" t="s">
        <v>629</v>
      </c>
      <c r="C49" s="1199">
        <v>12338960.800000001</v>
      </c>
      <c r="D49" s="1199">
        <v>6834961.4800000004</v>
      </c>
      <c r="E49" s="1199">
        <v>15048.540000000308</v>
      </c>
      <c r="F49" s="1200"/>
      <c r="G49" s="1190"/>
      <c r="H49" s="1191"/>
      <c r="I49"/>
      <c r="J49"/>
      <c r="K49"/>
    </row>
    <row r="50" spans="1:11">
      <c r="A50" s="662">
        <f>+A49+1</f>
        <v>30</v>
      </c>
      <c r="B50" s="678" t="s">
        <v>185</v>
      </c>
      <c r="C50" s="1199">
        <v>12338960.800000001</v>
      </c>
      <c r="D50" s="1199">
        <v>6857724.2700000005</v>
      </c>
      <c r="E50" s="1199">
        <v>21454.220000000161</v>
      </c>
      <c r="F50" s="1199"/>
      <c r="G50" s="1190"/>
      <c r="H50" s="1183"/>
      <c r="I50"/>
      <c r="J50"/>
      <c r="K50"/>
    </row>
    <row r="51" spans="1:11">
      <c r="A51" s="662">
        <f t="shared" ref="A51:A62" si="4">+A50+1</f>
        <v>31</v>
      </c>
      <c r="B51" s="677" t="s">
        <v>558</v>
      </c>
      <c r="C51" s="1199">
        <v>12338960.800000001</v>
      </c>
      <c r="D51" s="1199">
        <v>6880487.0599999996</v>
      </c>
      <c r="E51" s="1199">
        <v>17492.879999999845</v>
      </c>
      <c r="F51" s="1199"/>
      <c r="G51" s="1192"/>
      <c r="H51" s="1193"/>
      <c r="I51"/>
      <c r="J51"/>
      <c r="K51"/>
    </row>
    <row r="52" spans="1:11">
      <c r="A52" s="662">
        <f t="shared" si="4"/>
        <v>32</v>
      </c>
      <c r="B52" s="677" t="s">
        <v>628</v>
      </c>
      <c r="C52" s="1199">
        <v>12338960.800000001</v>
      </c>
      <c r="D52" s="1199">
        <v>6903249.8600000003</v>
      </c>
      <c r="E52" s="1199">
        <v>16607.419999999998</v>
      </c>
      <c r="F52" s="1199"/>
      <c r="G52" s="1192"/>
      <c r="H52" s="1193"/>
      <c r="I52"/>
      <c r="J52"/>
      <c r="K52"/>
    </row>
    <row r="53" spans="1:11">
      <c r="A53" s="662">
        <f t="shared" si="4"/>
        <v>33</v>
      </c>
      <c r="B53" s="677" t="s">
        <v>187</v>
      </c>
      <c r="C53" s="1199">
        <v>12338960.800000001</v>
      </c>
      <c r="D53" s="1199">
        <v>6926012.6100000003</v>
      </c>
      <c r="E53" s="1199">
        <v>4185.520000000397</v>
      </c>
      <c r="F53" s="1199"/>
      <c r="G53" s="1192"/>
      <c r="H53" s="1193"/>
      <c r="I53"/>
      <c r="J53"/>
      <c r="K53"/>
    </row>
    <row r="54" spans="1:11">
      <c r="A54" s="662">
        <f t="shared" si="4"/>
        <v>34</v>
      </c>
      <c r="B54" s="677" t="s">
        <v>188</v>
      </c>
      <c r="C54" s="1199">
        <v>12338960.800000001</v>
      </c>
      <c r="D54" s="1199">
        <v>6948775.3899999997</v>
      </c>
      <c r="E54" s="1199">
        <v>24226.139999999752</v>
      </c>
      <c r="F54" s="1199"/>
      <c r="G54" s="1192"/>
      <c r="H54" s="1193"/>
      <c r="I54"/>
      <c r="J54"/>
      <c r="K54"/>
    </row>
    <row r="55" spans="1:11">
      <c r="A55" s="662">
        <f t="shared" si="4"/>
        <v>35</v>
      </c>
      <c r="B55" s="677" t="s">
        <v>382</v>
      </c>
      <c r="C55" s="1199">
        <v>12338960.800000001</v>
      </c>
      <c r="D55" s="1199">
        <v>6971537.9000000004</v>
      </c>
      <c r="E55" s="1199">
        <v>30240.910000000102</v>
      </c>
      <c r="F55" s="1199"/>
      <c r="G55" s="1192"/>
      <c r="H55" s="1193"/>
      <c r="I55"/>
      <c r="J55"/>
      <c r="K55"/>
    </row>
    <row r="56" spans="1:11">
      <c r="A56" s="662">
        <f t="shared" si="4"/>
        <v>36</v>
      </c>
      <c r="B56" s="677" t="s">
        <v>189</v>
      </c>
      <c r="C56" s="1199">
        <v>12338960.52</v>
      </c>
      <c r="D56" s="1199">
        <v>6994300.6899999995</v>
      </c>
      <c r="E56" s="1199">
        <v>-3625.58000000007</v>
      </c>
      <c r="F56" s="1199"/>
      <c r="G56" s="1192"/>
      <c r="H56" s="1193"/>
      <c r="I56"/>
      <c r="J56"/>
      <c r="K56"/>
    </row>
    <row r="57" spans="1:11">
      <c r="A57" s="662">
        <f t="shared" si="4"/>
        <v>37</v>
      </c>
      <c r="B57" s="677" t="s">
        <v>627</v>
      </c>
      <c r="C57" s="1199">
        <v>12338960.52</v>
      </c>
      <c r="D57" s="1199">
        <v>7017063.4500000002</v>
      </c>
      <c r="E57" s="1199">
        <v>10202.120000000101</v>
      </c>
      <c r="F57" s="1199"/>
      <c r="G57" s="1192"/>
      <c r="H57" s="1193"/>
      <c r="I57"/>
      <c r="J57"/>
      <c r="K57"/>
    </row>
    <row r="58" spans="1:11">
      <c r="A58" s="662">
        <f t="shared" si="4"/>
        <v>38</v>
      </c>
      <c r="B58" s="677" t="s">
        <v>192</v>
      </c>
      <c r="C58" s="1199">
        <v>12338960.52</v>
      </c>
      <c r="D58" s="1199">
        <v>7049207.8200000003</v>
      </c>
      <c r="E58" s="1199">
        <v>3930.47999999998</v>
      </c>
      <c r="F58" s="1199"/>
      <c r="G58" s="1192"/>
      <c r="H58" s="1193"/>
      <c r="I58"/>
      <c r="J58"/>
      <c r="K58"/>
    </row>
    <row r="59" spans="1:11">
      <c r="A59" s="662">
        <f t="shared" si="4"/>
        <v>39</v>
      </c>
      <c r="B59" s="677" t="s">
        <v>559</v>
      </c>
      <c r="C59" s="1199">
        <v>12338960.52</v>
      </c>
      <c r="D59" s="1199">
        <v>7077864.04</v>
      </c>
      <c r="E59" s="1199">
        <v>6017.8100000000604</v>
      </c>
      <c r="F59" s="1199"/>
      <c r="G59" s="1192"/>
      <c r="H59" s="1193"/>
      <c r="I59"/>
      <c r="J59"/>
      <c r="K59"/>
    </row>
    <row r="60" spans="1:11">
      <c r="A60" s="662">
        <f t="shared" si="4"/>
        <v>40</v>
      </c>
      <c r="B60" s="677" t="s">
        <v>560</v>
      </c>
      <c r="C60" s="1199">
        <v>12338960.52</v>
      </c>
      <c r="D60" s="1199">
        <v>7106520.2800000003</v>
      </c>
      <c r="E60" s="1199">
        <v>28867.1899999999</v>
      </c>
      <c r="F60" s="1199"/>
      <c r="G60" s="1192"/>
      <c r="H60" s="1193"/>
      <c r="I60"/>
      <c r="J60"/>
      <c r="K60"/>
    </row>
    <row r="61" spans="1:11">
      <c r="A61" s="661">
        <f t="shared" si="4"/>
        <v>41</v>
      </c>
      <c r="B61" s="676" t="s">
        <v>626</v>
      </c>
      <c r="C61" s="1199">
        <v>12338960.52</v>
      </c>
      <c r="D61" s="1199">
        <v>7135176.5099999998</v>
      </c>
      <c r="E61" s="1199">
        <v>25067.509999999776</v>
      </c>
      <c r="F61" s="1199"/>
      <c r="G61" s="1192"/>
      <c r="H61" s="1194"/>
      <c r="I61"/>
      <c r="J61"/>
      <c r="K61"/>
    </row>
    <row r="62" spans="1:11" ht="13.5" thickBot="1">
      <c r="A62" s="660">
        <f t="shared" si="4"/>
        <v>42</v>
      </c>
      <c r="B62" s="867" t="s">
        <v>852</v>
      </c>
      <c r="C62" s="1184">
        <f>SUM(C49:C61)/13</f>
        <v>12338960.670769231</v>
      </c>
      <c r="D62" s="1184">
        <f>SUM(D49:D61)/13</f>
        <v>6977144.7200000007</v>
      </c>
      <c r="E62" s="1184">
        <f>SUM(E49:E61)/13</f>
        <v>15362.70461538464</v>
      </c>
      <c r="F62" s="1184">
        <f>SUM(F49:F61)/13</f>
        <v>0</v>
      </c>
      <c r="G62" s="1195">
        <f t="shared" ref="G62:H62" si="5">SUM(G49:G61)/13</f>
        <v>0</v>
      </c>
      <c r="H62" s="1196">
        <f t="shared" si="5"/>
        <v>0</v>
      </c>
      <c r="I62"/>
      <c r="J62"/>
      <c r="K62"/>
    </row>
    <row r="63" spans="1:11" ht="13.5" thickTop="1">
      <c r="A63" s="76"/>
      <c r="B63" s="657"/>
      <c r="G63"/>
      <c r="H63"/>
      <c r="I63"/>
      <c r="J63"/>
      <c r="K63"/>
    </row>
    <row r="64" spans="1:11">
      <c r="A64" s="76">
        <v>43</v>
      </c>
      <c r="B64" s="657" t="s">
        <v>625</v>
      </c>
      <c r="D64" s="459">
        <f>+E42-D62</f>
        <v>33938324.125384614</v>
      </c>
      <c r="I64" s="656"/>
    </row>
    <row r="65" spans="1:7" customFormat="1"/>
    <row r="66" spans="1:7" customFormat="1">
      <c r="A66" s="655"/>
      <c r="B66" s="215"/>
      <c r="C66" s="216"/>
      <c r="D66" s="217"/>
      <c r="E66" s="54"/>
      <c r="F66" s="54"/>
      <c r="G66" s="64"/>
    </row>
    <row r="67" spans="1:7" customFormat="1" ht="25.5">
      <c r="A67" s="688" t="s">
        <v>3</v>
      </c>
      <c r="B67" s="215"/>
      <c r="C67" s="685" t="s">
        <v>2</v>
      </c>
      <c r="D67" s="686" t="str">
        <f>"Balance @ December 31, "&amp;TCOS!L4&amp;""</f>
        <v>Balance @ December 31, 2025</v>
      </c>
      <c r="E67" s="687" t="str">
        <f>"Balance @ December 31, "&amp;TCOS!L4-1&amp;""</f>
        <v>Balance @ December 31, 2024</v>
      </c>
      <c r="F67" s="687" t="str">
        <f>"Average Balance for "&amp;TCOS!L4&amp;""</f>
        <v>Average Balance for 2025</v>
      </c>
      <c r="G67" s="64"/>
    </row>
    <row r="68" spans="1:7" customFormat="1">
      <c r="A68" s="69"/>
      <c r="B68" s="664" t="s">
        <v>636</v>
      </c>
      <c r="C68" s="664" t="s">
        <v>635</v>
      </c>
      <c r="D68" s="664" t="s">
        <v>634</v>
      </c>
      <c r="E68" s="664" t="s">
        <v>633</v>
      </c>
      <c r="F68" s="664" t="s">
        <v>632</v>
      </c>
      <c r="G68" s="64"/>
    </row>
    <row r="69" spans="1:7" customFormat="1">
      <c r="A69" s="215">
        <f>+A64+1</f>
        <v>44</v>
      </c>
      <c r="B69" s="69" t="s">
        <v>3</v>
      </c>
      <c r="C69" s="218" t="s">
        <v>374</v>
      </c>
      <c r="D69" s="605">
        <v>333259.44</v>
      </c>
      <c r="E69" s="605">
        <v>0</v>
      </c>
      <c r="F69" s="100">
        <f>IF(E69="",0,AVERAGE(D69:E69))</f>
        <v>166629.72</v>
      </c>
    </row>
    <row r="70" spans="1:7" customFormat="1">
      <c r="A70" s="214"/>
      <c r="B70" s="219"/>
      <c r="C70" s="219"/>
      <c r="F70" s="64"/>
    </row>
    <row r="71" spans="1:7" customFormat="1">
      <c r="A71" s="213">
        <f>+A69+1</f>
        <v>45</v>
      </c>
      <c r="B71" s="69" t="s">
        <v>815</v>
      </c>
      <c r="C71" s="230" t="s">
        <v>67</v>
      </c>
      <c r="D71" s="605">
        <v>0</v>
      </c>
      <c r="E71" s="605">
        <v>0</v>
      </c>
      <c r="F71" s="100">
        <f>IF(E71="",0,AVERAGE(D71:E71))</f>
        <v>0</v>
      </c>
    </row>
    <row r="72" spans="1:7" customFormat="1">
      <c r="A72" s="67"/>
      <c r="B72" s="67"/>
      <c r="C72" s="67"/>
      <c r="D72" s="67"/>
    </row>
    <row r="73" spans="1:7" customFormat="1">
      <c r="A73" s="69" t="s">
        <v>236</v>
      </c>
      <c r="B73" s="67"/>
      <c r="C73" s="67"/>
      <c r="D73" s="67"/>
    </row>
    <row r="74" spans="1:7" customFormat="1">
      <c r="A74" s="217"/>
      <c r="B74" s="217" t="s">
        <v>360</v>
      </c>
      <c r="C74" s="217"/>
      <c r="D74" s="52"/>
      <c r="E74" s="52"/>
      <c r="F74" s="52"/>
    </row>
    <row r="75" spans="1:7" customFormat="1">
      <c r="A75" s="215">
        <f>+A71+1</f>
        <v>46</v>
      </c>
      <c r="B75" s="606"/>
      <c r="C75" s="606"/>
      <c r="D75" s="605"/>
      <c r="E75" s="605"/>
      <c r="F75" s="100">
        <f>IF(E75="",0,AVERAGE(D75:E75))</f>
        <v>0</v>
      </c>
    </row>
    <row r="76" spans="1:7" customFormat="1">
      <c r="A76" s="215">
        <f>+A75+1</f>
        <v>47</v>
      </c>
      <c r="B76" s="606"/>
      <c r="C76" s="606"/>
      <c r="D76" s="605"/>
      <c r="E76" s="605"/>
      <c r="F76" s="100">
        <f>IF(E76="",0,AVERAGE(D76:E76))</f>
        <v>0</v>
      </c>
    </row>
    <row r="77" spans="1:7" customFormat="1">
      <c r="A77" s="215">
        <f>+A76+1</f>
        <v>48</v>
      </c>
      <c r="B77" s="606"/>
      <c r="C77" s="606"/>
      <c r="D77" s="605"/>
      <c r="E77" s="605"/>
      <c r="F77" s="100">
        <f>IF(E77="",0,AVERAGE(D77:E77))</f>
        <v>0</v>
      </c>
    </row>
    <row r="78" spans="1:7" customFormat="1">
      <c r="A78" s="215">
        <f>+A77+1</f>
        <v>49</v>
      </c>
      <c r="B78" s="606"/>
      <c r="C78" s="606"/>
      <c r="D78" s="605"/>
      <c r="E78" s="605"/>
      <c r="F78" s="100">
        <f>IF(E78="",0,AVERAGE(D78:E78))</f>
        <v>0</v>
      </c>
    </row>
    <row r="79" spans="1:7" customFormat="1">
      <c r="A79" s="215">
        <f>+A78+1</f>
        <v>50</v>
      </c>
      <c r="B79" s="606"/>
      <c r="C79" s="606"/>
      <c r="D79" s="607"/>
      <c r="E79" s="607"/>
      <c r="F79" s="689">
        <f>IF(E79="",0,AVERAGE(D79:E79))</f>
        <v>0</v>
      </c>
    </row>
    <row r="80" spans="1:7" customFormat="1">
      <c r="A80" s="215">
        <f>+A79+1</f>
        <v>51</v>
      </c>
      <c r="B80" s="217" t="s">
        <v>496</v>
      </c>
      <c r="C80" s="217"/>
      <c r="D80" s="132">
        <f>SUM(D75:D79)</f>
        <v>0</v>
      </c>
      <c r="E80" s="132">
        <f>SUM(E75:E79)</f>
        <v>0</v>
      </c>
      <c r="F80" s="132">
        <f>SUM(F75:F79)</f>
        <v>0</v>
      </c>
    </row>
    <row r="81" spans="1:7" customFormat="1">
      <c r="A81" s="215"/>
      <c r="B81" s="217"/>
      <c r="C81" s="217"/>
      <c r="D81" s="132"/>
      <c r="E81" s="132"/>
      <c r="F81" s="132"/>
    </row>
    <row r="82" spans="1:7" customFormat="1" ht="18">
      <c r="A82" s="69" t="s">
        <v>748</v>
      </c>
      <c r="B82" s="652"/>
      <c r="C82" s="652"/>
      <c r="D82" s="652"/>
      <c r="E82" s="52"/>
      <c r="F82" s="52"/>
      <c r="G82" s="52"/>
    </row>
    <row r="83" spans="1:7" customFormat="1">
      <c r="A83" s="53"/>
      <c r="B83" s="180"/>
      <c r="C83" s="183"/>
      <c r="D83" s="4"/>
      <c r="E83" s="52"/>
      <c r="F83" s="52"/>
      <c r="G83" s="52"/>
    </row>
    <row r="84" spans="1:7" customFormat="1">
      <c r="A84" s="53">
        <f>+A80+1</f>
        <v>52</v>
      </c>
      <c r="B84" s="8" t="s">
        <v>167</v>
      </c>
      <c r="C84" s="8" t="s">
        <v>306</v>
      </c>
      <c r="D84" s="3"/>
      <c r="F84" s="8"/>
    </row>
    <row r="85" spans="1:7" customFormat="1" ht="14.25">
      <c r="A85" s="76" t="s">
        <v>741</v>
      </c>
      <c r="B85" s="911" t="s">
        <v>857</v>
      </c>
      <c r="C85" s="980" t="s">
        <v>923</v>
      </c>
      <c r="D85" s="605">
        <v>0</v>
      </c>
      <c r="E85" s="605">
        <v>0</v>
      </c>
      <c r="F85" s="690">
        <f>IF(E85="",0,AVERAGE(D85:E85))</f>
        <v>0</v>
      </c>
    </row>
    <row r="86" spans="1:7" customFormat="1" ht="14.25">
      <c r="A86" s="76" t="s">
        <v>742</v>
      </c>
      <c r="B86" s="911" t="s">
        <v>1022</v>
      </c>
      <c r="C86" s="980" t="s">
        <v>1024</v>
      </c>
      <c r="D86" s="605">
        <v>59696.630000000005</v>
      </c>
      <c r="E86" s="605">
        <v>58785.47</v>
      </c>
      <c r="F86" s="690">
        <f>IF(E86="",0,AVERAGE(D86:E86))</f>
        <v>59241.05</v>
      </c>
    </row>
    <row r="87" spans="1:7" customFormat="1" ht="14.25">
      <c r="A87" s="1070" t="s">
        <v>1021</v>
      </c>
      <c r="B87" s="911" t="s">
        <v>1023</v>
      </c>
      <c r="C87" s="811" t="s">
        <v>1025</v>
      </c>
      <c r="D87" s="607">
        <v>378807.22000000003</v>
      </c>
      <c r="E87" s="607">
        <v>377297.18</v>
      </c>
      <c r="F87" s="691">
        <f>IF(E87="",0,AVERAGE(D87:E87))</f>
        <v>378052.2</v>
      </c>
    </row>
    <row r="88" spans="1:7" customFormat="1" ht="18" customHeight="1">
      <c r="A88" s="1">
        <v>54</v>
      </c>
      <c r="C88" s="3" t="s">
        <v>118</v>
      </c>
      <c r="D88" s="459">
        <f>SUM(D85:D87)</f>
        <v>438503.85000000003</v>
      </c>
      <c r="E88" s="459">
        <f>SUM(E85:E87)</f>
        <v>436082.65</v>
      </c>
      <c r="F88" s="459">
        <f>SUM(F85:F87)</f>
        <v>437293.25</v>
      </c>
    </row>
    <row r="89" spans="1:7" customFormat="1">
      <c r="A89" s="215"/>
      <c r="B89" s="217"/>
      <c r="C89" s="217"/>
      <c r="D89" s="217"/>
    </row>
    <row r="90" spans="1:7">
      <c r="A90" s="54" t="s">
        <v>667</v>
      </c>
      <c r="B90" s="217"/>
      <c r="C90" s="217"/>
      <c r="D90" s="217"/>
    </row>
    <row r="91" spans="1:7">
      <c r="A91" s="54" t="s">
        <v>666</v>
      </c>
      <c r="B91" s="217"/>
      <c r="C91" s="217"/>
      <c r="D91" s="217"/>
    </row>
    <row r="92" spans="1:7">
      <c r="A92"/>
      <c r="B92"/>
      <c r="C92"/>
      <c r="D92"/>
    </row>
    <row r="93" spans="1:7">
      <c r="A93"/>
      <c r="B93"/>
      <c r="C93"/>
      <c r="D93"/>
    </row>
  </sheetData>
  <mergeCells count="6">
    <mergeCell ref="C25:M25"/>
    <mergeCell ref="A1:G1"/>
    <mergeCell ref="A2:G2"/>
    <mergeCell ref="A3:G3"/>
    <mergeCell ref="A4:G4"/>
    <mergeCell ref="C6:M6"/>
  </mergeCells>
  <pageMargins left="0.7" right="0.7" top="0.75" bottom="0.75" header="0.3" footer="0.3"/>
  <pageSetup scale="41"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pageSetUpPr fitToPage="1"/>
  </sheetPr>
  <dimension ref="A1:L164"/>
  <sheetViews>
    <sheetView tabSelected="1" view="pageBreakPreview" zoomScale="85" zoomScaleNormal="90" zoomScaleSheetLayoutView="85" zoomScalePageLayoutView="85" workbookViewId="0">
      <selection activeCell="D3" sqref="D3"/>
    </sheetView>
  </sheetViews>
  <sheetFormatPr defaultColWidth="11.42578125" defaultRowHeight="12.75"/>
  <cols>
    <col min="1" max="1" width="10.42578125" style="712" customWidth="1"/>
    <col min="2" max="2" width="52.42578125" style="692" customWidth="1"/>
    <col min="3" max="7" width="20.42578125" style="692" customWidth="1"/>
    <col min="8" max="8" width="23" style="692" customWidth="1"/>
    <col min="9" max="11" width="20.42578125" style="692" customWidth="1"/>
    <col min="12" max="12" width="20" style="692" customWidth="1"/>
    <col min="13" max="14" width="15.140625" style="692" customWidth="1"/>
    <col min="15" max="16384" width="11.42578125" style="692"/>
  </cols>
  <sheetData>
    <row r="1" spans="1:12" ht="15">
      <c r="A1" s="1254" t="s">
        <v>387</v>
      </c>
      <c r="B1" s="1254"/>
      <c r="C1" s="1254"/>
      <c r="D1" s="1254"/>
      <c r="E1" s="1254"/>
      <c r="F1" s="1254"/>
      <c r="G1" s="1254"/>
      <c r="H1" s="76"/>
    </row>
    <row r="2" spans="1:12" ht="15">
      <c r="A2" s="1255" t="str">
        <f>"Cost of Service Formula Rate Using Actual/Projected FF1 Balances"</f>
        <v>Cost of Service Formula Rate Using Actual/Projected FF1 Balances</v>
      </c>
      <c r="B2" s="1255"/>
      <c r="C2" s="1255"/>
      <c r="D2" s="1255"/>
      <c r="E2" s="1255"/>
      <c r="F2" s="1255"/>
      <c r="G2" s="1255"/>
      <c r="H2" s="693"/>
      <c r="I2" s="693"/>
      <c r="J2" s="693"/>
      <c r="L2" s="694"/>
    </row>
    <row r="3" spans="1:12" ht="15">
      <c r="A3" s="1255" t="s">
        <v>668</v>
      </c>
      <c r="B3" s="1255"/>
      <c r="C3" s="1255"/>
      <c r="D3" s="1255"/>
      <c r="E3" s="1255"/>
      <c r="F3" s="1255"/>
      <c r="G3" s="1255"/>
      <c r="H3" s="693"/>
      <c r="I3" s="693"/>
      <c r="J3" s="693"/>
    </row>
    <row r="4" spans="1:12" ht="15">
      <c r="A4" s="1256" t="str">
        <f>TCOS!F9</f>
        <v>WHEELING POWER COMPANY</v>
      </c>
      <c r="B4" s="1256"/>
      <c r="C4" s="1256"/>
      <c r="D4" s="1256"/>
      <c r="E4" s="1256"/>
      <c r="F4" s="1256"/>
      <c r="G4" s="1256"/>
      <c r="H4" s="693"/>
      <c r="I4" s="693"/>
      <c r="J4" s="693"/>
    </row>
    <row r="5" spans="1:12">
      <c r="A5" s="693"/>
      <c r="B5" s="695"/>
      <c r="C5" s="695"/>
      <c r="D5" s="695"/>
      <c r="E5" s="696"/>
      <c r="F5" s="697"/>
      <c r="H5"/>
      <c r="I5"/>
      <c r="J5"/>
      <c r="K5"/>
      <c r="L5"/>
    </row>
    <row r="6" spans="1:12" ht="12.75" customHeight="1">
      <c r="A6" s="76"/>
      <c r="B6" s="682"/>
      <c r="C6" s="1312" t="s">
        <v>6</v>
      </c>
      <c r="D6" s="1313"/>
      <c r="E6" s="1313"/>
      <c r="F6" s="1313"/>
      <c r="G6" s="1314"/>
      <c r="H6" s="3"/>
      <c r="I6"/>
      <c r="J6"/>
      <c r="K6"/>
      <c r="L6"/>
    </row>
    <row r="7" spans="1:12" s="699" customFormat="1" ht="38.25">
      <c r="A7" s="681" t="s">
        <v>642</v>
      </c>
      <c r="B7" s="680" t="s">
        <v>641</v>
      </c>
      <c r="C7" s="669" t="s">
        <v>669</v>
      </c>
      <c r="D7" s="668" t="s">
        <v>368</v>
      </c>
      <c r="E7" s="668" t="s">
        <v>670</v>
      </c>
      <c r="F7" s="668" t="s">
        <v>671</v>
      </c>
      <c r="G7" s="698" t="s">
        <v>6</v>
      </c>
      <c r="H7" s="3"/>
      <c r="I7"/>
      <c r="J7"/>
      <c r="K7"/>
      <c r="L7"/>
    </row>
    <row r="8" spans="1:12" s="701" customFormat="1">
      <c r="A8" s="662"/>
      <c r="B8" s="665" t="s">
        <v>636</v>
      </c>
      <c r="C8" s="666" t="s">
        <v>635</v>
      </c>
      <c r="D8" s="664" t="s">
        <v>634</v>
      </c>
      <c r="E8" s="664" t="s">
        <v>633</v>
      </c>
      <c r="F8" s="664" t="s">
        <v>632</v>
      </c>
      <c r="G8" s="700" t="s">
        <v>672</v>
      </c>
      <c r="H8" s="3"/>
      <c r="I8"/>
      <c r="J8"/>
      <c r="K8"/>
      <c r="L8"/>
    </row>
    <row r="9" spans="1:12" s="701" customFormat="1" ht="44.25" customHeight="1">
      <c r="A9" s="662"/>
      <c r="B9" s="665" t="s">
        <v>631</v>
      </c>
      <c r="C9" s="702" t="s">
        <v>673</v>
      </c>
      <c r="D9" s="679" t="s">
        <v>674</v>
      </c>
      <c r="E9" s="679" t="s">
        <v>675</v>
      </c>
      <c r="F9" s="679" t="s">
        <v>676</v>
      </c>
      <c r="G9" s="703"/>
      <c r="H9" s="3"/>
      <c r="I9"/>
      <c r="J9"/>
      <c r="K9"/>
      <c r="L9"/>
    </row>
    <row r="10" spans="1:12">
      <c r="A10" s="662">
        <v>1</v>
      </c>
      <c r="B10" s="678" t="s">
        <v>629</v>
      </c>
      <c r="C10" s="704">
        <v>554521321.19000006</v>
      </c>
      <c r="D10" s="704">
        <v>0</v>
      </c>
      <c r="E10" s="704">
        <v>0</v>
      </c>
      <c r="F10" s="704">
        <v>-1453693.22</v>
      </c>
      <c r="G10" s="705">
        <f t="shared" ref="G10:G22" si="0">+C10-D10-E10-F10</f>
        <v>555975014.41000009</v>
      </c>
      <c r="H10" s="3"/>
      <c r="I10"/>
      <c r="J10"/>
      <c r="K10"/>
      <c r="L10"/>
    </row>
    <row r="11" spans="1:12">
      <c r="A11" s="662">
        <f t="shared" ref="A11:A23" si="1">+A10+1</f>
        <v>2</v>
      </c>
      <c r="B11" s="678" t="s">
        <v>185</v>
      </c>
      <c r="C11" s="704">
        <v>560249601.77199996</v>
      </c>
      <c r="D11" s="704">
        <v>0</v>
      </c>
      <c r="E11" s="704">
        <v>0</v>
      </c>
      <c r="F11" s="704">
        <v>-1453693.22</v>
      </c>
      <c r="G11" s="705">
        <f t="shared" si="0"/>
        <v>561703294.99199998</v>
      </c>
      <c r="H11" s="3"/>
      <c r="I11"/>
      <c r="J11"/>
      <c r="K11"/>
      <c r="L11"/>
    </row>
    <row r="12" spans="1:12">
      <c r="A12" s="662">
        <f t="shared" si="1"/>
        <v>3</v>
      </c>
      <c r="B12" s="677" t="s">
        <v>558</v>
      </c>
      <c r="C12" s="704">
        <v>562330334.61499977</v>
      </c>
      <c r="D12" s="704">
        <v>0</v>
      </c>
      <c r="E12" s="704">
        <v>0</v>
      </c>
      <c r="F12" s="704">
        <v>-1453693.22</v>
      </c>
      <c r="G12" s="705">
        <f t="shared" si="0"/>
        <v>563784027.8349998</v>
      </c>
      <c r="H12" s="3"/>
      <c r="I12"/>
      <c r="J12"/>
      <c r="K12"/>
      <c r="L12"/>
    </row>
    <row r="13" spans="1:12">
      <c r="A13" s="662">
        <f t="shared" si="1"/>
        <v>4</v>
      </c>
      <c r="B13" s="677" t="s">
        <v>628</v>
      </c>
      <c r="C13" s="704">
        <v>564698248.09799993</v>
      </c>
      <c r="D13" s="704">
        <v>0</v>
      </c>
      <c r="E13" s="704">
        <v>0</v>
      </c>
      <c r="F13" s="704">
        <v>-1461465.24</v>
      </c>
      <c r="G13" s="705">
        <f t="shared" si="0"/>
        <v>566159713.33799994</v>
      </c>
      <c r="H13" s="3"/>
      <c r="I13"/>
      <c r="J13"/>
      <c r="K13"/>
      <c r="L13"/>
    </row>
    <row r="14" spans="1:12">
      <c r="A14" s="662">
        <f t="shared" si="1"/>
        <v>5</v>
      </c>
      <c r="B14" s="677" t="s">
        <v>187</v>
      </c>
      <c r="C14" s="704">
        <v>568615259.597</v>
      </c>
      <c r="D14" s="704">
        <v>0</v>
      </c>
      <c r="E14" s="704">
        <v>0</v>
      </c>
      <c r="F14" s="704">
        <v>-1461465.24</v>
      </c>
      <c r="G14" s="705">
        <f t="shared" si="0"/>
        <v>570076724.83700001</v>
      </c>
      <c r="H14" s="3"/>
      <c r="I14"/>
      <c r="J14"/>
      <c r="K14"/>
      <c r="L14"/>
    </row>
    <row r="15" spans="1:12">
      <c r="A15" s="662">
        <f t="shared" si="1"/>
        <v>6</v>
      </c>
      <c r="B15" s="677" t="s">
        <v>188</v>
      </c>
      <c r="C15" s="704">
        <v>571183924.80299997</v>
      </c>
      <c r="D15" s="704">
        <v>0</v>
      </c>
      <c r="E15" s="704">
        <v>0</v>
      </c>
      <c r="F15" s="704">
        <v>-1461465.24</v>
      </c>
      <c r="G15" s="705">
        <f t="shared" si="0"/>
        <v>572645390.04299998</v>
      </c>
      <c r="H15" s="3"/>
      <c r="I15"/>
      <c r="J15"/>
      <c r="K15"/>
      <c r="L15"/>
    </row>
    <row r="16" spans="1:12">
      <c r="A16" s="662">
        <f t="shared" si="1"/>
        <v>7</v>
      </c>
      <c r="B16" s="677" t="s">
        <v>382</v>
      </c>
      <c r="C16" s="704">
        <v>575016610.20300019</v>
      </c>
      <c r="D16" s="704">
        <v>0</v>
      </c>
      <c r="E16" s="704">
        <v>0</v>
      </c>
      <c r="F16" s="704">
        <v>-1469237.26</v>
      </c>
      <c r="G16" s="705">
        <f t="shared" si="0"/>
        <v>576485847.46300018</v>
      </c>
      <c r="H16" s="3"/>
      <c r="I16"/>
      <c r="J16"/>
      <c r="K16"/>
      <c r="L16"/>
    </row>
    <row r="17" spans="1:12">
      <c r="A17" s="662">
        <f t="shared" si="1"/>
        <v>8</v>
      </c>
      <c r="B17" s="677" t="s">
        <v>189</v>
      </c>
      <c r="C17" s="704">
        <v>578555635.94199991</v>
      </c>
      <c r="D17" s="704">
        <v>0</v>
      </c>
      <c r="E17" s="704">
        <v>0</v>
      </c>
      <c r="F17" s="704">
        <v>-1469237.26</v>
      </c>
      <c r="G17" s="705">
        <f t="shared" si="0"/>
        <v>580024873.2019999</v>
      </c>
      <c r="H17" s="3"/>
      <c r="I17"/>
      <c r="J17"/>
      <c r="K17"/>
      <c r="L17"/>
    </row>
    <row r="18" spans="1:12">
      <c r="A18" s="662">
        <f t="shared" si="1"/>
        <v>9</v>
      </c>
      <c r="B18" s="677" t="s">
        <v>627</v>
      </c>
      <c r="C18" s="704">
        <v>581271208.36299992</v>
      </c>
      <c r="D18" s="704">
        <v>0</v>
      </c>
      <c r="E18" s="704">
        <v>0</v>
      </c>
      <c r="F18" s="704">
        <v>-1469237.26</v>
      </c>
      <c r="G18" s="705">
        <f t="shared" si="0"/>
        <v>582740445.62299991</v>
      </c>
      <c r="H18" s="3"/>
      <c r="I18"/>
      <c r="J18"/>
      <c r="K18"/>
      <c r="L18"/>
    </row>
    <row r="19" spans="1:12">
      <c r="A19" s="662">
        <f t="shared" si="1"/>
        <v>10</v>
      </c>
      <c r="B19" s="677" t="s">
        <v>192</v>
      </c>
      <c r="C19" s="704">
        <v>583797711.15400004</v>
      </c>
      <c r="D19" s="704">
        <v>0</v>
      </c>
      <c r="E19" s="704">
        <v>0</v>
      </c>
      <c r="F19" s="704">
        <v>-1477009.28</v>
      </c>
      <c r="G19" s="705">
        <f t="shared" si="0"/>
        <v>585274720.43400002</v>
      </c>
      <c r="H19" s="3"/>
      <c r="I19"/>
      <c r="J19"/>
      <c r="K19"/>
      <c r="L19"/>
    </row>
    <row r="20" spans="1:12">
      <c r="A20" s="662">
        <f t="shared" si="1"/>
        <v>11</v>
      </c>
      <c r="B20" s="677" t="s">
        <v>559</v>
      </c>
      <c r="C20" s="704">
        <v>588172784.0480001</v>
      </c>
      <c r="D20" s="704">
        <v>0</v>
      </c>
      <c r="E20" s="704">
        <v>0</v>
      </c>
      <c r="F20" s="704">
        <v>-1477009.28</v>
      </c>
      <c r="G20" s="705">
        <f t="shared" si="0"/>
        <v>589649793.32800007</v>
      </c>
      <c r="H20" s="3"/>
      <c r="I20"/>
      <c r="J20"/>
      <c r="K20"/>
      <c r="L20"/>
    </row>
    <row r="21" spans="1:12">
      <c r="A21" s="662">
        <f t="shared" si="1"/>
        <v>12</v>
      </c>
      <c r="B21" s="677" t="s">
        <v>560</v>
      </c>
      <c r="C21" s="704">
        <v>590747142.65700006</v>
      </c>
      <c r="D21" s="704">
        <v>0</v>
      </c>
      <c r="E21" s="704">
        <v>0</v>
      </c>
      <c r="F21" s="704">
        <v>-1477009.28</v>
      </c>
      <c r="G21" s="705">
        <f t="shared" si="0"/>
        <v>592224151.93700004</v>
      </c>
      <c r="H21" s="3"/>
      <c r="I21"/>
      <c r="J21"/>
      <c r="K21"/>
      <c r="L21"/>
    </row>
    <row r="22" spans="1:12">
      <c r="A22" s="661">
        <f t="shared" si="1"/>
        <v>13</v>
      </c>
      <c r="B22" s="676" t="s">
        <v>626</v>
      </c>
      <c r="C22" s="704">
        <v>596148964.88599956</v>
      </c>
      <c r="D22" s="704">
        <v>0</v>
      </c>
      <c r="E22" s="704">
        <v>0</v>
      </c>
      <c r="F22" s="704">
        <v>338862.60000000003</v>
      </c>
      <c r="G22" s="705">
        <f t="shared" si="0"/>
        <v>595810102.28599954</v>
      </c>
      <c r="H22" s="3"/>
      <c r="I22"/>
      <c r="J22"/>
      <c r="K22"/>
      <c r="L22"/>
    </row>
    <row r="23" spans="1:12" ht="13.5" thickBot="1">
      <c r="A23" s="675">
        <f t="shared" si="1"/>
        <v>14</v>
      </c>
      <c r="B23" s="674" t="s">
        <v>853</v>
      </c>
      <c r="C23" s="659">
        <f>SUM(C10:C22)/13</f>
        <v>575023749.79446149</v>
      </c>
      <c r="D23" s="658">
        <f>SUM(D10:D22)/13</f>
        <v>0</v>
      </c>
      <c r="E23" s="658">
        <f>SUM(E10:E22)/13</f>
        <v>0</v>
      </c>
      <c r="F23" s="658">
        <f>SUM(F10:F22)/13</f>
        <v>-1326565.5692307691</v>
      </c>
      <c r="G23" s="706">
        <f>SUM(G10:G22)/13</f>
        <v>576350315.36369228</v>
      </c>
      <c r="H23" s="3"/>
      <c r="I23"/>
      <c r="J23"/>
      <c r="K23"/>
      <c r="L23"/>
    </row>
    <row r="24" spans="1:12" ht="13.5" thickTop="1">
      <c r="A24" s="76"/>
      <c r="B24" s="657"/>
      <c r="C24" s="673"/>
      <c r="D24" s="656"/>
      <c r="E24" s="656"/>
      <c r="F24" s="656"/>
      <c r="G24" s="673"/>
      <c r="H24" s="673"/>
      <c r="I24"/>
      <c r="J24"/>
      <c r="K24"/>
      <c r="L24"/>
    </row>
    <row r="25" spans="1:12" ht="12.75" customHeight="1">
      <c r="A25" s="76"/>
      <c r="B25" s="682"/>
      <c r="C25" s="1315" t="s">
        <v>677</v>
      </c>
      <c r="D25" s="1316"/>
      <c r="E25" s="1316"/>
      <c r="F25" s="1316"/>
      <c r="G25" s="1316"/>
      <c r="H25" s="1317"/>
      <c r="I25"/>
      <c r="J25"/>
      <c r="K25"/>
      <c r="L25"/>
    </row>
    <row r="26" spans="1:12" s="699" customFormat="1" ht="38.25">
      <c r="A26" s="681" t="s">
        <v>642</v>
      </c>
      <c r="B26" s="680" t="s">
        <v>641</v>
      </c>
      <c r="C26" s="669" t="s">
        <v>689</v>
      </c>
      <c r="D26" s="668" t="s">
        <v>688</v>
      </c>
      <c r="E26" s="668" t="s">
        <v>687</v>
      </c>
      <c r="F26" s="668" t="s">
        <v>686</v>
      </c>
      <c r="G26" s="668" t="s">
        <v>678</v>
      </c>
      <c r="H26" s="698" t="s">
        <v>622</v>
      </c>
      <c r="I26"/>
      <c r="J26"/>
      <c r="K26"/>
      <c r="L26"/>
    </row>
    <row r="27" spans="1:12" s="701" customFormat="1">
      <c r="A27" s="662"/>
      <c r="B27" s="665" t="s">
        <v>636</v>
      </c>
      <c r="C27" s="666" t="s">
        <v>635</v>
      </c>
      <c r="D27" s="664" t="s">
        <v>634</v>
      </c>
      <c r="E27" s="664" t="s">
        <v>633</v>
      </c>
      <c r="F27" s="664" t="s">
        <v>632</v>
      </c>
      <c r="G27" s="664" t="s">
        <v>654</v>
      </c>
      <c r="H27" s="700" t="s">
        <v>679</v>
      </c>
      <c r="I27"/>
      <c r="J27"/>
      <c r="K27"/>
      <c r="L27"/>
    </row>
    <row r="28" spans="1:12" s="701" customFormat="1" ht="44.25" customHeight="1">
      <c r="A28" s="662"/>
      <c r="B28" s="665" t="s">
        <v>631</v>
      </c>
      <c r="C28" s="702" t="s">
        <v>680</v>
      </c>
      <c r="D28" s="679" t="s">
        <v>681</v>
      </c>
      <c r="E28" s="679" t="s">
        <v>682</v>
      </c>
      <c r="F28" s="679" t="s">
        <v>683</v>
      </c>
      <c r="G28" s="679" t="s">
        <v>684</v>
      </c>
      <c r="H28" s="707"/>
      <c r="I28"/>
      <c r="J28"/>
      <c r="K28"/>
      <c r="L28"/>
    </row>
    <row r="29" spans="1:12">
      <c r="A29" s="662">
        <f>+A23+1</f>
        <v>15</v>
      </c>
      <c r="B29" s="678" t="s">
        <v>629</v>
      </c>
      <c r="C29" s="704">
        <v>0</v>
      </c>
      <c r="D29" s="704">
        <v>0</v>
      </c>
      <c r="E29" s="704">
        <v>0</v>
      </c>
      <c r="F29" s="704">
        <v>687000000</v>
      </c>
      <c r="G29" s="704">
        <v>0</v>
      </c>
      <c r="H29" s="705">
        <f t="shared" ref="H29:H41" si="2">+C29-D29+E29+F29-G29</f>
        <v>687000000</v>
      </c>
      <c r="I29"/>
      <c r="J29"/>
      <c r="K29"/>
      <c r="L29"/>
    </row>
    <row r="30" spans="1:12">
      <c r="A30" s="662">
        <f t="shared" ref="A30:A42" si="3">+A29+1</f>
        <v>16</v>
      </c>
      <c r="B30" s="678" t="s">
        <v>185</v>
      </c>
      <c r="C30" s="704">
        <v>0</v>
      </c>
      <c r="D30" s="704">
        <v>0</v>
      </c>
      <c r="E30" s="704">
        <v>0</v>
      </c>
      <c r="F30" s="704">
        <v>687000000</v>
      </c>
      <c r="G30" s="704">
        <v>0</v>
      </c>
      <c r="H30" s="705">
        <f t="shared" si="2"/>
        <v>687000000</v>
      </c>
      <c r="I30"/>
      <c r="J30"/>
      <c r="K30"/>
      <c r="L30"/>
    </row>
    <row r="31" spans="1:12">
      <c r="A31" s="662">
        <f t="shared" si="3"/>
        <v>17</v>
      </c>
      <c r="B31" s="677" t="s">
        <v>558</v>
      </c>
      <c r="C31" s="704">
        <v>0</v>
      </c>
      <c r="D31" s="704">
        <v>0</v>
      </c>
      <c r="E31" s="704">
        <v>0</v>
      </c>
      <c r="F31" s="704">
        <v>687000000</v>
      </c>
      <c r="G31" s="704">
        <v>0</v>
      </c>
      <c r="H31" s="705">
        <f t="shared" si="2"/>
        <v>687000000</v>
      </c>
      <c r="I31"/>
      <c r="J31"/>
      <c r="K31"/>
      <c r="L31"/>
    </row>
    <row r="32" spans="1:12">
      <c r="A32" s="662">
        <f t="shared" si="3"/>
        <v>18</v>
      </c>
      <c r="B32" s="677" t="s">
        <v>628</v>
      </c>
      <c r="C32" s="704">
        <v>0</v>
      </c>
      <c r="D32" s="704">
        <v>0</v>
      </c>
      <c r="E32" s="704">
        <v>0</v>
      </c>
      <c r="F32" s="704">
        <v>687000000</v>
      </c>
      <c r="G32" s="704">
        <v>0</v>
      </c>
      <c r="H32" s="705">
        <f t="shared" si="2"/>
        <v>687000000</v>
      </c>
      <c r="I32"/>
      <c r="J32"/>
      <c r="K32"/>
      <c r="L32"/>
    </row>
    <row r="33" spans="1:12">
      <c r="A33" s="662">
        <f t="shared" si="3"/>
        <v>19</v>
      </c>
      <c r="B33" s="677" t="s">
        <v>187</v>
      </c>
      <c r="C33" s="704">
        <v>0</v>
      </c>
      <c r="D33" s="704">
        <v>0</v>
      </c>
      <c r="E33" s="704">
        <v>0</v>
      </c>
      <c r="F33" s="704">
        <v>672000000</v>
      </c>
      <c r="G33" s="704">
        <v>0</v>
      </c>
      <c r="H33" s="705">
        <f t="shared" si="2"/>
        <v>672000000</v>
      </c>
      <c r="I33"/>
      <c r="J33"/>
      <c r="K33"/>
      <c r="L33"/>
    </row>
    <row r="34" spans="1:12">
      <c r="A34" s="662">
        <f t="shared" si="3"/>
        <v>20</v>
      </c>
      <c r="B34" s="677" t="s">
        <v>188</v>
      </c>
      <c r="C34" s="704">
        <v>0</v>
      </c>
      <c r="D34" s="704">
        <v>0</v>
      </c>
      <c r="E34" s="704">
        <v>0</v>
      </c>
      <c r="F34" s="704">
        <v>797000000</v>
      </c>
      <c r="G34" s="704">
        <v>0</v>
      </c>
      <c r="H34" s="705">
        <f t="shared" si="2"/>
        <v>797000000</v>
      </c>
      <c r="I34"/>
      <c r="J34"/>
      <c r="K34"/>
      <c r="L34"/>
    </row>
    <row r="35" spans="1:12">
      <c r="A35" s="662">
        <f t="shared" si="3"/>
        <v>21</v>
      </c>
      <c r="B35" s="677" t="s">
        <v>382</v>
      </c>
      <c r="C35" s="704">
        <v>0</v>
      </c>
      <c r="D35" s="704">
        <v>0</v>
      </c>
      <c r="E35" s="704">
        <v>0</v>
      </c>
      <c r="F35" s="704">
        <v>675000000</v>
      </c>
      <c r="G35" s="704">
        <v>0</v>
      </c>
      <c r="H35" s="705">
        <f t="shared" si="2"/>
        <v>675000000</v>
      </c>
      <c r="I35"/>
      <c r="J35"/>
      <c r="K35"/>
      <c r="L35"/>
    </row>
    <row r="36" spans="1:12">
      <c r="A36" s="662">
        <f t="shared" si="3"/>
        <v>22</v>
      </c>
      <c r="B36" s="677" t="s">
        <v>189</v>
      </c>
      <c r="C36" s="704">
        <v>0</v>
      </c>
      <c r="D36" s="704">
        <v>0</v>
      </c>
      <c r="E36" s="704">
        <v>0</v>
      </c>
      <c r="F36" s="704">
        <v>675000000</v>
      </c>
      <c r="G36" s="704">
        <v>0</v>
      </c>
      <c r="H36" s="705">
        <f t="shared" si="2"/>
        <v>675000000</v>
      </c>
      <c r="I36"/>
      <c r="J36"/>
      <c r="K36"/>
      <c r="L36"/>
    </row>
    <row r="37" spans="1:12">
      <c r="A37" s="662">
        <f t="shared" si="3"/>
        <v>23</v>
      </c>
      <c r="B37" s="677" t="s">
        <v>627</v>
      </c>
      <c r="C37" s="704">
        <v>0</v>
      </c>
      <c r="D37" s="704">
        <v>0</v>
      </c>
      <c r="E37" s="704">
        <v>0</v>
      </c>
      <c r="F37" s="704">
        <v>675000000</v>
      </c>
      <c r="G37" s="704">
        <v>0</v>
      </c>
      <c r="H37" s="705">
        <f t="shared" si="2"/>
        <v>675000000</v>
      </c>
      <c r="I37"/>
      <c r="J37"/>
      <c r="K37"/>
      <c r="L37"/>
    </row>
    <row r="38" spans="1:12">
      <c r="A38" s="662">
        <f t="shared" si="3"/>
        <v>24</v>
      </c>
      <c r="B38" s="677" t="s">
        <v>192</v>
      </c>
      <c r="C38" s="704">
        <v>0</v>
      </c>
      <c r="D38" s="704">
        <v>0</v>
      </c>
      <c r="E38" s="704">
        <v>0</v>
      </c>
      <c r="F38" s="704">
        <v>675000000</v>
      </c>
      <c r="G38" s="704">
        <v>0</v>
      </c>
      <c r="H38" s="705">
        <f t="shared" si="2"/>
        <v>675000000</v>
      </c>
      <c r="I38"/>
      <c r="J38"/>
      <c r="K38"/>
      <c r="L38"/>
    </row>
    <row r="39" spans="1:12">
      <c r="A39" s="662">
        <f t="shared" si="3"/>
        <v>25</v>
      </c>
      <c r="B39" s="677" t="s">
        <v>559</v>
      </c>
      <c r="C39" s="704">
        <v>0</v>
      </c>
      <c r="D39" s="704">
        <v>0</v>
      </c>
      <c r="E39" s="704">
        <v>0</v>
      </c>
      <c r="F39" s="704">
        <v>675000000</v>
      </c>
      <c r="G39" s="704">
        <v>0</v>
      </c>
      <c r="H39" s="705">
        <f t="shared" si="2"/>
        <v>675000000</v>
      </c>
      <c r="I39"/>
      <c r="J39"/>
      <c r="K39"/>
      <c r="L39"/>
    </row>
    <row r="40" spans="1:12">
      <c r="A40" s="662">
        <f t="shared" si="3"/>
        <v>26</v>
      </c>
      <c r="B40" s="677" t="s">
        <v>560</v>
      </c>
      <c r="C40" s="704">
        <v>0</v>
      </c>
      <c r="D40" s="704">
        <v>0</v>
      </c>
      <c r="E40" s="704">
        <v>0</v>
      </c>
      <c r="F40" s="704">
        <v>675000000</v>
      </c>
      <c r="G40" s="704">
        <v>0</v>
      </c>
      <c r="H40" s="705">
        <f t="shared" si="2"/>
        <v>675000000</v>
      </c>
      <c r="I40"/>
      <c r="J40"/>
      <c r="K40"/>
      <c r="L40"/>
    </row>
    <row r="41" spans="1:12">
      <c r="A41" s="661">
        <f t="shared" si="3"/>
        <v>27</v>
      </c>
      <c r="B41" s="676" t="s">
        <v>626</v>
      </c>
      <c r="C41" s="704">
        <v>0</v>
      </c>
      <c r="D41" s="704">
        <v>0</v>
      </c>
      <c r="E41" s="704">
        <v>0</v>
      </c>
      <c r="F41" s="704">
        <v>675000000</v>
      </c>
      <c r="G41" s="704">
        <v>0</v>
      </c>
      <c r="H41" s="705">
        <f t="shared" si="2"/>
        <v>675000000</v>
      </c>
      <c r="I41"/>
      <c r="J41"/>
      <c r="K41"/>
      <c r="L41"/>
    </row>
    <row r="42" spans="1:12" ht="13.5" thickBot="1">
      <c r="A42" s="675">
        <f t="shared" si="3"/>
        <v>28</v>
      </c>
      <c r="B42" s="674" t="s">
        <v>853</v>
      </c>
      <c r="C42" s="659">
        <f t="shared" ref="C42:H42" si="4">SUM(C29:C41)/13</f>
        <v>0</v>
      </c>
      <c r="D42" s="658">
        <f t="shared" si="4"/>
        <v>0</v>
      </c>
      <c r="E42" s="658">
        <f t="shared" si="4"/>
        <v>0</v>
      </c>
      <c r="F42" s="658">
        <f t="shared" si="4"/>
        <v>687846153.84615386</v>
      </c>
      <c r="G42" s="658">
        <f t="shared" si="4"/>
        <v>0</v>
      </c>
      <c r="H42" s="706">
        <f t="shared" si="4"/>
        <v>687846153.84615386</v>
      </c>
      <c r="I42"/>
      <c r="J42"/>
      <c r="K42"/>
      <c r="L42"/>
    </row>
    <row r="43" spans="1:12" ht="13.5" thickTop="1">
      <c r="A43" s="693"/>
      <c r="B43" s="708"/>
      <c r="C43" s="709"/>
      <c r="D43" s="710"/>
      <c r="E43" s="710"/>
      <c r="F43" s="710"/>
      <c r="G43" s="709"/>
      <c r="H43" s="709"/>
      <c r="I43"/>
      <c r="J43"/>
      <c r="K43"/>
      <c r="L43"/>
    </row>
    <row r="44" spans="1:12" ht="12.75" customHeight="1">
      <c r="A44" s="711" t="s">
        <v>685</v>
      </c>
      <c r="F44" s="397"/>
      <c r="G44" s="397"/>
      <c r="H44" s="397"/>
      <c r="I44"/>
      <c r="J44"/>
      <c r="K44"/>
    </row>
    <row r="45" spans="1:12">
      <c r="E45" s="397"/>
      <c r="F45" s="397"/>
      <c r="G45" s="397"/>
      <c r="H45" s="397"/>
      <c r="J45" s="708"/>
    </row>
    <row r="46" spans="1:12" ht="15">
      <c r="A46" s="713" t="s">
        <v>7</v>
      </c>
      <c r="E46" s="397"/>
      <c r="F46" s="397"/>
      <c r="G46" s="397"/>
      <c r="H46" s="76"/>
    </row>
    <row r="47" spans="1:12" ht="15">
      <c r="A47" s="713"/>
      <c r="B47" s="714" t="s">
        <v>636</v>
      </c>
      <c r="C47" s="714" t="s">
        <v>635</v>
      </c>
      <c r="D47" s="715" t="s">
        <v>634</v>
      </c>
      <c r="E47" s="714" t="s">
        <v>633</v>
      </c>
      <c r="F47" s="715" t="s">
        <v>632</v>
      </c>
      <c r="G47" s="714" t="s">
        <v>654</v>
      </c>
      <c r="H47" s="714" t="s">
        <v>655</v>
      </c>
    </row>
    <row r="48" spans="1:12">
      <c r="A48" s="447">
        <f>+A42+1</f>
        <v>29</v>
      </c>
      <c r="B48" s="716" t="str">
        <f>"Annual Interest Expense for "&amp;TCOS!L4</f>
        <v>Annual Interest Expense for 2025</v>
      </c>
      <c r="C48" s="717"/>
      <c r="D48" s="718"/>
      <c r="E48" s="719"/>
      <c r="F48" s="719"/>
      <c r="G48" s="719"/>
      <c r="H48" s="719"/>
      <c r="I48" s="719"/>
      <c r="J48" s="719"/>
      <c r="K48" s="719"/>
      <c r="L48" s="719"/>
    </row>
    <row r="49" spans="1:12">
      <c r="A49" s="447">
        <f t="shared" ref="A49:A56" si="5">+A48+1</f>
        <v>30</v>
      </c>
      <c r="B49" s="836" t="s">
        <v>757</v>
      </c>
      <c r="C49" s="717"/>
      <c r="D49" s="718"/>
      <c r="E49" s="721">
        <v>40379253.509999998</v>
      </c>
      <c r="F49" s="719"/>
      <c r="G49" s="719"/>
      <c r="H49" s="719"/>
      <c r="I49" s="719"/>
      <c r="J49" s="719"/>
      <c r="K49" s="719"/>
      <c r="L49" s="719"/>
    </row>
    <row r="50" spans="1:12" ht="28.5" customHeight="1">
      <c r="A50" s="447">
        <f t="shared" si="5"/>
        <v>31</v>
      </c>
      <c r="B50" s="1307" t="str">
        <f>"Less: Total Hedge Gain/Expense Accumulated from p 256-257, col. (i) of FERC Form 1  included in Ln "&amp;A49&amp;" and shown in "&amp;A74&amp;" below."</f>
        <v>Less: Total Hedge Gain/Expense Accumulated from p 256-257, col. (i) of FERC Form 1  included in Ln 30 and shown in 50 below.</v>
      </c>
      <c r="C50" s="1308"/>
      <c r="D50" s="718"/>
      <c r="E50" s="717">
        <f>+C74</f>
        <v>0</v>
      </c>
      <c r="F50" s="719"/>
      <c r="G50" s="719"/>
      <c r="H50" s="719"/>
      <c r="I50" s="719"/>
      <c r="J50" s="719"/>
      <c r="K50" s="719"/>
      <c r="L50" s="719"/>
    </row>
    <row r="51" spans="1:12" ht="16.5" customHeight="1">
      <c r="A51" s="447">
        <f t="shared" si="5"/>
        <v>32</v>
      </c>
      <c r="B51" s="722" t="str">
        <f>"Plus:  Allowed Hedge Recovery From Ln "&amp;A80&amp;"  below."</f>
        <v>Plus:  Allowed Hedge Recovery From Ln 55  below.</v>
      </c>
      <c r="C51" s="837"/>
      <c r="D51" s="718"/>
      <c r="E51" s="723">
        <f>+E80</f>
        <v>0</v>
      </c>
      <c r="F51" s="719"/>
      <c r="G51" s="719"/>
      <c r="H51" s="719"/>
      <c r="I51" s="719"/>
      <c r="J51" s="719"/>
      <c r="K51" s="719"/>
      <c r="L51" s="719"/>
    </row>
    <row r="52" spans="1:12">
      <c r="A52" s="447">
        <f t="shared" si="5"/>
        <v>33</v>
      </c>
      <c r="B52" s="836" t="s">
        <v>758</v>
      </c>
      <c r="C52" s="719"/>
      <c r="D52" s="719"/>
      <c r="E52" s="721">
        <v>498153.81999999995</v>
      </c>
      <c r="F52" s="719"/>
      <c r="G52" s="719"/>
      <c r="H52" s="719"/>
      <c r="I52" s="719"/>
      <c r="J52" s="719"/>
    </row>
    <row r="53" spans="1:12">
      <c r="A53" s="447">
        <f t="shared" si="5"/>
        <v>34</v>
      </c>
      <c r="B53" s="836" t="s">
        <v>759</v>
      </c>
      <c r="C53" s="724"/>
      <c r="D53" s="718"/>
      <c r="E53" s="721">
        <v>0</v>
      </c>
      <c r="F53" s="719"/>
      <c r="G53" s="719"/>
      <c r="H53" s="719"/>
      <c r="I53" s="719"/>
      <c r="J53" s="719"/>
    </row>
    <row r="54" spans="1:12">
      <c r="A54" s="447">
        <f t="shared" si="5"/>
        <v>35</v>
      </c>
      <c r="B54" s="836" t="s">
        <v>760</v>
      </c>
      <c r="C54" s="724"/>
      <c r="D54" s="718"/>
      <c r="E54" s="721"/>
      <c r="F54" s="719"/>
      <c r="G54" s="719"/>
      <c r="H54" s="719"/>
      <c r="I54" s="719"/>
      <c r="J54" s="719"/>
    </row>
    <row r="55" spans="1:12" ht="13.5" thickBot="1">
      <c r="A55" s="447">
        <f t="shared" si="5"/>
        <v>36</v>
      </c>
      <c r="B55" s="836" t="s">
        <v>761</v>
      </c>
      <c r="C55" s="724"/>
      <c r="D55" s="718"/>
      <c r="E55" s="725"/>
      <c r="F55" s="719"/>
      <c r="G55" s="719"/>
      <c r="H55" s="719"/>
      <c r="I55" s="719"/>
      <c r="J55" s="719"/>
    </row>
    <row r="56" spans="1:12">
      <c r="A56" s="447">
        <f t="shared" si="5"/>
        <v>37</v>
      </c>
      <c r="B56" s="716" t="str">
        <f>"Total Interest Expense (Ln "&amp;A49&amp;" - "&amp;A50&amp;" + "&amp;A52&amp;" + "&amp;A53&amp;" - "&amp;A54&amp;" - "&amp;A55&amp;")"</f>
        <v>Total Interest Expense (Ln 30 - 31 + 33 + 34 - 35 - 36)</v>
      </c>
      <c r="C56" s="726"/>
      <c r="D56" s="727"/>
      <c r="E56" s="728">
        <f>+E49-E50+E51+E52+E53-E54-E55</f>
        <v>40877407.329999998</v>
      </c>
      <c r="F56" s="719"/>
      <c r="G56" s="719"/>
      <c r="H56" s="719"/>
      <c r="I56" s="719"/>
      <c r="J56" s="719"/>
    </row>
    <row r="57" spans="1:12" ht="13.5" thickBot="1">
      <c r="A57" s="447"/>
      <c r="B57" s="720"/>
      <c r="C57" s="724"/>
      <c r="D57" s="718"/>
      <c r="E57" s="728"/>
      <c r="F57" s="719"/>
      <c r="G57" s="719"/>
      <c r="H57" s="719"/>
      <c r="I57" s="719"/>
      <c r="J57" s="719"/>
    </row>
    <row r="58" spans="1:12" ht="13.5" thickBot="1">
      <c r="A58" s="447">
        <f>+A56+1</f>
        <v>38</v>
      </c>
      <c r="B58" s="716" t="str">
        <f>"Average Cost of Debt for "&amp;TCOS!L4&amp;" (Ln "&amp;A56&amp;"/ ln "&amp;A42&amp;" (g))"</f>
        <v>Average Cost of Debt for 2025 (Ln 37/ ln 28 (g))</v>
      </c>
      <c r="C58" s="726"/>
      <c r="D58" s="718"/>
      <c r="E58" s="729">
        <f>+E56/H42</f>
        <v>5.9428125172220979E-2</v>
      </c>
      <c r="F58" s="719"/>
      <c r="G58" s="719"/>
      <c r="H58" s="719"/>
      <c r="I58" s="719"/>
      <c r="J58" s="719"/>
    </row>
    <row r="59" spans="1:12">
      <c r="A59" s="730"/>
      <c r="B59" s="720"/>
      <c r="C59" s="724"/>
      <c r="D59" s="718"/>
      <c r="E59" s="724"/>
      <c r="F59" s="719"/>
      <c r="G59" s="719"/>
      <c r="H59" s="719"/>
      <c r="I59" s="719"/>
      <c r="J59" s="719"/>
    </row>
    <row r="60" spans="1:12" s="731" customFormat="1" ht="28.5" customHeight="1">
      <c r="A60" s="541"/>
      <c r="B60" s="1309" t="s">
        <v>0</v>
      </c>
      <c r="C60" s="1309"/>
      <c r="D60" s="1309"/>
      <c r="E60" s="1309"/>
      <c r="F60" s="542"/>
    </row>
    <row r="61" spans="1:12" s="731" customFormat="1" ht="107.25" customHeight="1">
      <c r="A61" s="543">
        <f>+A58+1</f>
        <v>39</v>
      </c>
      <c r="B61" s="1310" t="s">
        <v>312</v>
      </c>
      <c r="C61" s="1289"/>
      <c r="D61" s="1289"/>
      <c r="E61" s="1289"/>
      <c r="F61" s="397"/>
    </row>
    <row r="62" spans="1:12" s="731" customFormat="1" ht="12" customHeight="1">
      <c r="A62" s="541"/>
      <c r="B62" s="544"/>
      <c r="C62" s="544"/>
      <c r="D62" s="544"/>
      <c r="E62" s="544"/>
      <c r="G62" s="1311" t="s">
        <v>232</v>
      </c>
      <c r="H62" s="1311"/>
    </row>
    <row r="63" spans="1:12" s="731" customFormat="1" ht="52.5" customHeight="1">
      <c r="A63" s="405"/>
      <c r="B63" s="733" t="s">
        <v>359</v>
      </c>
      <c r="C63" s="732" t="str">
        <f>"Total Hedge (Gain)/Loss for "&amp;TCOS!L4</f>
        <v>Total Hedge (Gain)/Loss for 2025</v>
      </c>
      <c r="D63" s="732" t="str">
        <f>"Less Excludable Amounts (See NOTE on Line "&amp;A61&amp;")"</f>
        <v>Less Excludable Amounts (See NOTE on Line 39)</v>
      </c>
      <c r="E63" s="732" t="s">
        <v>1</v>
      </c>
      <c r="F63" s="732" t="s">
        <v>231</v>
      </c>
      <c r="G63" s="732" t="s">
        <v>283</v>
      </c>
      <c r="H63" s="732" t="s">
        <v>285</v>
      </c>
    </row>
    <row r="64" spans="1:12" s="731" customFormat="1" ht="12.75" customHeight="1">
      <c r="A64" s="405">
        <f>+A61+1</f>
        <v>40</v>
      </c>
      <c r="B64" s="924"/>
      <c r="C64" s="640"/>
      <c r="D64" s="734"/>
      <c r="E64" s="735">
        <f t="shared" ref="E64:E72" si="6">+C64-D64</f>
        <v>0</v>
      </c>
      <c r="F64" s="640"/>
      <c r="G64" s="736"/>
      <c r="H64" s="736"/>
      <c r="I64"/>
      <c r="J64"/>
    </row>
    <row r="65" spans="1:8" s="731" customFormat="1" ht="12.75" customHeight="1">
      <c r="A65" s="405">
        <f t="shared" ref="A65:A74" si="7">+A64+1</f>
        <v>41</v>
      </c>
      <c r="B65" s="924"/>
      <c r="C65" s="640"/>
      <c r="D65" s="734"/>
      <c r="E65" s="735">
        <f t="shared" si="6"/>
        <v>0</v>
      </c>
      <c r="F65" s="640"/>
      <c r="G65" s="736"/>
      <c r="H65" s="736"/>
    </row>
    <row r="66" spans="1:8" s="731" customFormat="1" ht="12.75" customHeight="1">
      <c r="A66" s="405">
        <f t="shared" si="7"/>
        <v>42</v>
      </c>
      <c r="B66" s="734"/>
      <c r="C66" s="640"/>
      <c r="D66" s="737"/>
      <c r="E66" s="735">
        <f t="shared" si="6"/>
        <v>0</v>
      </c>
      <c r="F66" s="640"/>
      <c r="G66" s="736"/>
      <c r="H66" s="736"/>
    </row>
    <row r="67" spans="1:8" s="731" customFormat="1" ht="12.75" customHeight="1">
      <c r="A67" s="405">
        <f t="shared" si="7"/>
        <v>43</v>
      </c>
      <c r="B67" s="734"/>
      <c r="C67" s="640"/>
      <c r="D67" s="737"/>
      <c r="E67" s="735">
        <f t="shared" si="6"/>
        <v>0</v>
      </c>
      <c r="F67" s="640"/>
      <c r="G67" s="736"/>
      <c r="H67" s="736"/>
    </row>
    <row r="68" spans="1:8" s="731" customFormat="1" ht="12.75" customHeight="1">
      <c r="A68" s="405">
        <f t="shared" si="7"/>
        <v>44</v>
      </c>
      <c r="B68" s="734"/>
      <c r="C68" s="640"/>
      <c r="D68" s="734"/>
      <c r="E68" s="735">
        <f t="shared" si="6"/>
        <v>0</v>
      </c>
      <c r="F68" s="640"/>
      <c r="G68" s="736"/>
      <c r="H68" s="736"/>
    </row>
    <row r="69" spans="1:8" s="731" customFormat="1" ht="12.75" customHeight="1">
      <c r="A69" s="405">
        <f t="shared" si="7"/>
        <v>45</v>
      </c>
      <c r="B69" s="734"/>
      <c r="C69" s="640"/>
      <c r="D69" s="734"/>
      <c r="E69" s="735">
        <f t="shared" si="6"/>
        <v>0</v>
      </c>
      <c r="F69" s="640"/>
      <c r="G69" s="736"/>
      <c r="H69" s="736"/>
    </row>
    <row r="70" spans="1:8" s="731" customFormat="1" ht="12.75" customHeight="1">
      <c r="A70" s="405">
        <f t="shared" si="7"/>
        <v>46</v>
      </c>
      <c r="B70" s="734"/>
      <c r="C70" s="640"/>
      <c r="D70" s="734"/>
      <c r="E70" s="735">
        <f t="shared" si="6"/>
        <v>0</v>
      </c>
      <c r="F70" s="640"/>
      <c r="G70" s="736"/>
      <c r="H70" s="736"/>
    </row>
    <row r="71" spans="1:8" s="731" customFormat="1" ht="12.75" customHeight="1">
      <c r="A71" s="405">
        <f t="shared" si="7"/>
        <v>47</v>
      </c>
      <c r="B71" s="734"/>
      <c r="C71" s="640"/>
      <c r="D71" s="738"/>
      <c r="E71" s="735">
        <f t="shared" si="6"/>
        <v>0</v>
      </c>
      <c r="F71" s="640"/>
      <c r="G71" s="736"/>
      <c r="H71" s="736"/>
    </row>
    <row r="72" spans="1:8" s="731" customFormat="1" ht="12.75" customHeight="1">
      <c r="A72" s="405">
        <f t="shared" si="7"/>
        <v>48</v>
      </c>
      <c r="B72" s="734"/>
      <c r="C72" s="640"/>
      <c r="D72" s="721"/>
      <c r="E72" s="735">
        <f t="shared" si="6"/>
        <v>0</v>
      </c>
      <c r="F72" s="739"/>
      <c r="G72" s="739"/>
      <c r="H72" s="739"/>
    </row>
    <row r="73" spans="1:8" s="731" customFormat="1" ht="12.75" customHeight="1">
      <c r="A73" s="405">
        <f t="shared" si="7"/>
        <v>49</v>
      </c>
      <c r="B73" s="3"/>
      <c r="C73" s="740"/>
      <c r="D73" s="740"/>
      <c r="E73" s="741"/>
      <c r="F73" s="735">
        <f>SUM(F64:F72)</f>
        <v>0</v>
      </c>
    </row>
    <row r="74" spans="1:8" s="731" customFormat="1" ht="12.75" customHeight="1">
      <c r="A74" s="405">
        <f t="shared" si="7"/>
        <v>50</v>
      </c>
      <c r="B74" s="720" t="s">
        <v>8</v>
      </c>
      <c r="C74" s="728">
        <f>SUM(C64:C72)</f>
        <v>0</v>
      </c>
      <c r="D74" s="728">
        <f>SUM(D64:D72)</f>
        <v>0</v>
      </c>
    </row>
    <row r="75" spans="1:8" s="731" customFormat="1" ht="21" customHeight="1">
      <c r="A75" s="405"/>
      <c r="B75" s="720"/>
      <c r="C75" s="728"/>
      <c r="D75" s="728"/>
      <c r="E75" s="728"/>
    </row>
    <row r="76" spans="1:8" s="731" customFormat="1" ht="14.25" customHeight="1">
      <c r="A76" s="405">
        <f>+A74+1</f>
        <v>51</v>
      </c>
      <c r="B76" s="720" t="str">
        <f>"Hedge Gain or Loss Prior to Application of Recovery Limit (Sum of Lines "&amp;A64&amp;" to "&amp;A72&amp;")"</f>
        <v>Hedge Gain or Loss Prior to Application of Recovery Limit (Sum of Lines 40 to 48)</v>
      </c>
      <c r="C76" s="728"/>
      <c r="D76" s="728"/>
      <c r="E76" s="728">
        <f>SUM(E64:E72)</f>
        <v>0</v>
      </c>
    </row>
    <row r="77" spans="1:8" s="731" customFormat="1" ht="12.75" customHeight="1">
      <c r="A77" s="405">
        <f>+A76+1</f>
        <v>52</v>
      </c>
      <c r="B77" s="742" t="str">
        <f>"Total Average Capital Structure Balance for "&amp;TCOS!L4&amp;" (TCOS, Ln "&amp;TCOS!B274&amp;")"</f>
        <v>Total Average Capital Structure Balance for 2025 (TCOS, Ln 157)</v>
      </c>
      <c r="C77" s="724"/>
      <c r="D77" s="718"/>
      <c r="E77" s="743">
        <f>TCOS!G274</f>
        <v>1264196469.209846</v>
      </c>
      <c r="H77" s="735"/>
    </row>
    <row r="78" spans="1:8" s="731" customFormat="1" ht="12.75" customHeight="1">
      <c r="A78" s="405">
        <f>+A77+1</f>
        <v>53</v>
      </c>
      <c r="B78" s="720" t="s">
        <v>488</v>
      </c>
      <c r="C78" s="724"/>
      <c r="D78" s="718"/>
      <c r="E78" s="744">
        <v>5.0000000000000001E-4</v>
      </c>
      <c r="G78" s="745"/>
    </row>
    <row r="79" spans="1:8" s="731" customFormat="1" ht="12.75" customHeight="1" thickBot="1">
      <c r="A79" s="405">
        <f>+A78+1</f>
        <v>54</v>
      </c>
      <c r="B79" s="720" t="s">
        <v>489</v>
      </c>
      <c r="C79" s="724"/>
      <c r="D79" s="718"/>
      <c r="E79" s="746">
        <f>+E77*E78</f>
        <v>632098.23460492305</v>
      </c>
    </row>
    <row r="80" spans="1:8" s="731" customFormat="1" ht="12.75" customHeight="1" thickBot="1">
      <c r="A80" s="405">
        <f>+A79+1</f>
        <v>55</v>
      </c>
      <c r="B80" s="716" t="str">
        <f>"Recoverable Hedge Amortization (Lesser of Ln "&amp;A76&amp;" or Ln "&amp;A79&amp;")"</f>
        <v>Recoverable Hedge Amortization (Lesser of Ln 51 or Ln 54)</v>
      </c>
      <c r="C80" s="724"/>
      <c r="D80" s="718"/>
      <c r="E80" s="747">
        <f>+IF(E79&lt;E76,E79,E76)</f>
        <v>0</v>
      </c>
    </row>
    <row r="81" spans="1:5" s="731" customFormat="1" ht="12.75" customHeight="1">
      <c r="A81" s="405"/>
      <c r="B81" s="720"/>
      <c r="C81" s="724"/>
      <c r="D81" s="718"/>
      <c r="E81" s="724"/>
    </row>
    <row r="82" spans="1:5" s="731" customFormat="1" ht="12.75" customHeight="1">
      <c r="A82" s="748" t="s">
        <v>9</v>
      </c>
      <c r="B82" s="749"/>
      <c r="C82" s="724"/>
      <c r="D82" s="718"/>
      <c r="E82" s="724"/>
    </row>
    <row r="83" spans="1:5" s="731" customFormat="1" ht="12.75" customHeight="1">
      <c r="A83" s="405"/>
      <c r="B83" s="720"/>
      <c r="C83" s="724"/>
      <c r="D83" s="718"/>
      <c r="E83" s="724"/>
    </row>
    <row r="84" spans="1:5" s="731" customFormat="1" ht="12.75" customHeight="1">
      <c r="A84" s="405"/>
      <c r="B84" s="750" t="s">
        <v>258</v>
      </c>
      <c r="C84" s="751"/>
      <c r="D84" s="718"/>
      <c r="E84" s="751" t="s">
        <v>505</v>
      </c>
    </row>
    <row r="85" spans="1:5" s="731" customFormat="1" ht="12.75" customHeight="1">
      <c r="A85" s="405">
        <f>+A80+1</f>
        <v>56</v>
      </c>
      <c r="B85" s="718" t="str">
        <f>""&amp;C$85*100&amp;"% Series - "&amp;C$86&amp;" - Dividend Rate (p. 250-251)"</f>
        <v>0% Series - 0 - Dividend Rate (p. 250-251)</v>
      </c>
      <c r="C85" s="752">
        <v>0</v>
      </c>
      <c r="D85" s="752">
        <v>0</v>
      </c>
      <c r="E85" s="751"/>
    </row>
    <row r="86" spans="1:5" s="731" customFormat="1" ht="12.75" customHeight="1">
      <c r="A86" s="405">
        <f>+A85+1</f>
        <v>57</v>
      </c>
      <c r="B86" s="718" t="str">
        <f>""&amp;C$85*100&amp;"% Series - "&amp;C$86&amp;" - Par Value (p. 250-251)"</f>
        <v>0% Series - 0 - Par Value (p. 250-251)</v>
      </c>
      <c r="C86" s="753">
        <v>0</v>
      </c>
      <c r="D86" s="753">
        <v>0</v>
      </c>
      <c r="E86" s="751"/>
    </row>
    <row r="87" spans="1:5" s="731" customFormat="1" ht="12.75" customHeight="1">
      <c r="A87" s="405">
        <f>+A86+1</f>
        <v>58</v>
      </c>
      <c r="B87" s="718" t="str">
        <f>""&amp;C$85*100&amp;"% Series - "&amp;C$86&amp;" - Shares O/S (p.250-251) "</f>
        <v xml:space="preserve">0% Series - 0 - Shares O/S (p.250-251) </v>
      </c>
      <c r="C87" s="721">
        <v>0</v>
      </c>
      <c r="D87" s="721">
        <v>0</v>
      </c>
      <c r="E87" s="754"/>
    </row>
    <row r="88" spans="1:5" s="731" customFormat="1" ht="12.75" customHeight="1">
      <c r="A88" s="405">
        <f>+A87+1</f>
        <v>59</v>
      </c>
      <c r="B88" s="718" t="str">
        <f>""&amp;C$85*100&amp;"% Series - "&amp;C$86&amp;" - Monetary Value (Ln "&amp;A86&amp;" * Ln "&amp;A87&amp;")"</f>
        <v>0% Series - 0 - Monetary Value (Ln 57 * Ln 58)</v>
      </c>
      <c r="C88" s="755">
        <f>+C87*C86</f>
        <v>0</v>
      </c>
      <c r="D88" s="755">
        <f>+D87*D86</f>
        <v>0</v>
      </c>
      <c r="E88" s="443">
        <f>IF(C88=D88=0,0,AVERAGE(C88:D88))</f>
        <v>0</v>
      </c>
    </row>
    <row r="89" spans="1:5" s="731" customFormat="1" ht="12.75" customHeight="1">
      <c r="A89" s="405">
        <f>+A88+1</f>
        <v>60</v>
      </c>
      <c r="B89" s="718" t="str">
        <f>""&amp;C$85*100&amp;"% Series - "&amp;C$86&amp;" -  Dividend Amount (Ln "&amp;A85&amp;" * Ln "&amp;A88&amp;")"</f>
        <v>0% Series - 0 -  Dividend Amount (Ln 56 * Ln 59)</v>
      </c>
      <c r="C89" s="755">
        <f>+C88*C85</f>
        <v>0</v>
      </c>
      <c r="D89" s="755">
        <f>+D88*D85</f>
        <v>0</v>
      </c>
      <c r="E89" s="443">
        <f>IF(C89=D89=0,0,AVERAGE(C89:D89))</f>
        <v>0</v>
      </c>
    </row>
    <row r="90" spans="1:5" s="731" customFormat="1" ht="12.75" customHeight="1">
      <c r="A90" s="405"/>
      <c r="B90" s="718"/>
      <c r="C90" s="755"/>
      <c r="D90" s="745"/>
      <c r="E90" s="756"/>
    </row>
    <row r="91" spans="1:5" s="731" customFormat="1" ht="12.75" customHeight="1">
      <c r="A91" s="405">
        <f>+A89+1</f>
        <v>61</v>
      </c>
      <c r="B91" s="718" t="str">
        <f>""&amp;C$91*100&amp;"% Series - "&amp;C$92&amp;" - Dividend Rate (p. 250-251)"</f>
        <v>0% Series - 0 - Dividend Rate (p. 250-251)</v>
      </c>
      <c r="C91" s="752">
        <v>0</v>
      </c>
      <c r="D91" s="752">
        <v>0</v>
      </c>
      <c r="E91" s="756"/>
    </row>
    <row r="92" spans="1:5" s="731" customFormat="1" ht="12.75" customHeight="1">
      <c r="A92" s="405">
        <f>+A91+1</f>
        <v>62</v>
      </c>
      <c r="B92" s="718" t="str">
        <f>""&amp;C$91*100&amp;"% Series - "&amp;C$92&amp;" - Par Value (p. 250-251)"</f>
        <v>0% Series - 0 - Par Value (p. 250-251)</v>
      </c>
      <c r="C92" s="753">
        <v>0</v>
      </c>
      <c r="D92" s="753">
        <v>0</v>
      </c>
      <c r="E92" s="756"/>
    </row>
    <row r="93" spans="1:5" s="731" customFormat="1" ht="12.75" customHeight="1">
      <c r="A93" s="405">
        <f>+A92+1</f>
        <v>63</v>
      </c>
      <c r="B93" s="718" t="str">
        <f>""&amp;C$91*100&amp;"% Series - "&amp;C$92&amp;" - Shares O/S (p.250-251) "</f>
        <v xml:space="preserve">0% Series - 0 - Shares O/S (p.250-251) </v>
      </c>
      <c r="C93" s="721">
        <v>0</v>
      </c>
      <c r="D93" s="721">
        <v>0</v>
      </c>
      <c r="E93" s="756"/>
    </row>
    <row r="94" spans="1:5" s="731" customFormat="1" ht="12.75" customHeight="1">
      <c r="A94" s="405">
        <f>+A93+1</f>
        <v>64</v>
      </c>
      <c r="B94" s="718" t="str">
        <f>""&amp;C$91*100&amp;"% Series - "&amp;C$92&amp;" - Monetary Value (Ln "&amp;A92&amp;" * Ln "&amp;A93&amp;")"</f>
        <v>0% Series - 0 - Monetary Value (Ln 62 * Ln 63)</v>
      </c>
      <c r="C94" s="717">
        <f>+C93*C92</f>
        <v>0</v>
      </c>
      <c r="D94" s="717">
        <f>+D93*D92</f>
        <v>0</v>
      </c>
      <c r="E94" s="443">
        <f>IF(C94=D94=0,0,AVERAGE(C94:D94))</f>
        <v>0</v>
      </c>
    </row>
    <row r="95" spans="1:5" s="731" customFormat="1" ht="12.75" customHeight="1">
      <c r="A95" s="405">
        <f>+A94+1</f>
        <v>65</v>
      </c>
      <c r="B95" s="718" t="str">
        <f>""&amp;C$91*100&amp;"% Series - "&amp;C$92&amp;" -  Dividend Amount (Ln "&amp;A91&amp;" * Ln "&amp;A94&amp;")"</f>
        <v>0% Series - 0 -  Dividend Amount (Ln 61 * Ln 64)</v>
      </c>
      <c r="C95" s="717">
        <f>+C94*C91</f>
        <v>0</v>
      </c>
      <c r="D95" s="717">
        <f>+D94*D91</f>
        <v>0</v>
      </c>
      <c r="E95" s="443">
        <f>IF(C95=D95=0,0,AVERAGE(C95:D95))</f>
        <v>0</v>
      </c>
    </row>
    <row r="96" spans="1:5" s="731" customFormat="1" ht="12.75" customHeight="1">
      <c r="A96" s="405"/>
      <c r="B96" s="718"/>
      <c r="C96" s="717"/>
      <c r="D96" s="717"/>
      <c r="E96" s="443"/>
    </row>
    <row r="97" spans="1:6" s="731" customFormat="1" ht="12.75" customHeight="1">
      <c r="A97" s="405">
        <f>+A95+1</f>
        <v>66</v>
      </c>
      <c r="B97" s="718" t="str">
        <f>""&amp;C$97*100&amp;"% Series - "&amp;C$98&amp;" - Dividend Rate (p. 250-251)"</f>
        <v>0% Series - 0 - Dividend Rate (p. 250-251)</v>
      </c>
      <c r="C97" s="752">
        <v>0</v>
      </c>
      <c r="D97" s="752">
        <v>0</v>
      </c>
      <c r="E97" s="443"/>
    </row>
    <row r="98" spans="1:6" s="731" customFormat="1" ht="12.75" customHeight="1">
      <c r="A98" s="405">
        <f>+A97+1</f>
        <v>67</v>
      </c>
      <c r="B98" s="718" t="str">
        <f>""&amp;C$97*100&amp;"% Series - "&amp;C$98&amp;" - Par Value (p. 250-251)"</f>
        <v>0% Series - 0 - Par Value (p. 250-251)</v>
      </c>
      <c r="C98" s="753">
        <v>0</v>
      </c>
      <c r="D98" s="753">
        <v>0</v>
      </c>
      <c r="E98" s="443"/>
    </row>
    <row r="99" spans="1:6" s="731" customFormat="1" ht="12.75" customHeight="1">
      <c r="A99" s="405">
        <f>+A98+1</f>
        <v>68</v>
      </c>
      <c r="B99" s="718" t="str">
        <f>""&amp;C$97*100&amp;"% Series - "&amp;C$98&amp;" - Shares O/S (p.250-251) "</f>
        <v xml:space="preserve">0% Series - 0 - Shares O/S (p.250-251) </v>
      </c>
      <c r="C99" s="721">
        <v>0</v>
      </c>
      <c r="D99" s="721">
        <v>0</v>
      </c>
      <c r="E99" s="756"/>
    </row>
    <row r="100" spans="1:6" s="731" customFormat="1" ht="12.75" customHeight="1">
      <c r="A100" s="405">
        <f>+A99+1</f>
        <v>69</v>
      </c>
      <c r="B100" s="718" t="str">
        <f>""&amp;C$97*100&amp;"% Series - "&amp;C$98&amp;" - Monetary Value (Ln "&amp;A98&amp;" * Ln "&amp;A99&amp;")"</f>
        <v>0% Series - 0 - Monetary Value (Ln 67 * Ln 68)</v>
      </c>
      <c r="C100" s="717">
        <f>+C99*C98</f>
        <v>0</v>
      </c>
      <c r="D100" s="717">
        <f>+D99*D98</f>
        <v>0</v>
      </c>
      <c r="E100" s="443">
        <f>IF(C100=D100=0,0,AVERAGE(C100:D100))</f>
        <v>0</v>
      </c>
    </row>
    <row r="101" spans="1:6" s="731" customFormat="1" ht="12.75" customHeight="1">
      <c r="A101" s="405">
        <f>+A100+1</f>
        <v>70</v>
      </c>
      <c r="B101" s="718" t="str">
        <f>""&amp;C$97*100&amp;"% Series - "&amp;C$98&amp;" -  Dividend Amount (Ln "&amp;A97&amp;" * Ln "&amp;A100&amp;")"</f>
        <v>0% Series - 0 -  Dividend Amount (Ln 66 * Ln 69)</v>
      </c>
      <c r="C101" s="717">
        <f>+C100*C97</f>
        <v>0</v>
      </c>
      <c r="D101" s="717">
        <f>+D100*D97</f>
        <v>0</v>
      </c>
      <c r="E101" s="443">
        <f>IF(C101=D101=0,0,AVERAGE(C101:D101))</f>
        <v>0</v>
      </c>
    </row>
    <row r="102" spans="1:6" s="731" customFormat="1" ht="12.75" customHeight="1">
      <c r="A102" s="405"/>
      <c r="B102" s="718"/>
      <c r="C102" s="717"/>
      <c r="D102" s="717"/>
    </row>
    <row r="103" spans="1:6" s="731" customFormat="1" ht="12.75" customHeight="1">
      <c r="A103" s="405">
        <f>+A101+1</f>
        <v>71</v>
      </c>
      <c r="B103" s="727" t="str">
        <f>"Balance of Preferred Stock (Lns "&amp;A88&amp;", "&amp;A94&amp;", "&amp;A100&amp;")"</f>
        <v>Balance of Preferred Stock (Lns 59, 64, 69)</v>
      </c>
      <c r="C103" s="717">
        <f>+C88+C94+C100</f>
        <v>0</v>
      </c>
      <c r="D103" s="717">
        <f>+D88+D94+D100</f>
        <v>0</v>
      </c>
      <c r="E103" s="757">
        <f>+E88+E94+E100</f>
        <v>0</v>
      </c>
      <c r="F103" s="718" t="s">
        <v>313</v>
      </c>
    </row>
    <row r="104" spans="1:6" s="731" customFormat="1" ht="12.75" customHeight="1" thickBot="1">
      <c r="A104" s="405">
        <f>+A103+1</f>
        <v>72</v>
      </c>
      <c r="B104" s="727" t="str">
        <f>"Dividends on Preferred Stock (Lns "&amp;A89&amp;", "&amp;A95&amp;", "&amp;A101&amp;")"</f>
        <v>Dividends on Preferred Stock (Lns 60, 65, 70)</v>
      </c>
      <c r="C104" s="758">
        <f>+C95+C89+C101</f>
        <v>0</v>
      </c>
      <c r="D104" s="758">
        <f>+D95+D89+D101</f>
        <v>0</v>
      </c>
      <c r="E104" s="759">
        <f>+E101+E95+E89</f>
        <v>0</v>
      </c>
    </row>
    <row r="105" spans="1:6" s="731" customFormat="1" ht="12.75" customHeight="1" thickBot="1">
      <c r="A105" s="405">
        <f>+A104+1</f>
        <v>73</v>
      </c>
      <c r="B105" s="727" t="str">
        <f>"Average Cost of Preferred Stock (Ln "&amp;A104&amp;"/"&amp;A103&amp;")"</f>
        <v>Average Cost of Preferred Stock (Ln 72/71)</v>
      </c>
      <c r="C105" s="724">
        <f>IF(C103=0,0,C104/C103)</f>
        <v>0</v>
      </c>
      <c r="D105" s="724">
        <f>IF(D103=0,0,D104/D103)</f>
        <v>0</v>
      </c>
      <c r="E105" s="729">
        <f>IF(E103=0,0,+E104/E103)</f>
        <v>0</v>
      </c>
    </row>
    <row r="147" spans="7:7">
      <c r="G147" s="692" t="s">
        <v>114</v>
      </c>
    </row>
    <row r="164" spans="7:12">
      <c r="G164" s="963"/>
      <c r="L164" s="963"/>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46" fitToHeight="0" orientation="landscape" cellComments="asDisplayed" r:id="rId1"/>
  <headerFooter>
    <oddHeader xml:space="preserve">&amp;L&amp;"Times New Roman,Bold Italic"&amp;12Privileged and Confidential
Subject to FERC Rules 602 and 606&amp;RPage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U34"/>
  <sheetViews>
    <sheetView tabSelected="1" view="pageBreakPreview" zoomScale="80" zoomScaleNormal="100" zoomScaleSheetLayoutView="80" workbookViewId="0">
      <selection activeCell="D3" sqref="D3"/>
    </sheetView>
  </sheetViews>
  <sheetFormatPr defaultRowHeight="12.75"/>
  <cols>
    <col min="2" max="2" width="11.85546875" customWidth="1"/>
    <col min="3" max="3" width="1" customWidth="1"/>
    <col min="8" max="8" width="1.5703125" customWidth="1"/>
    <col min="9" max="9" width="9.85546875" customWidth="1"/>
    <col min="10" max="10" width="1.5703125" customWidth="1"/>
    <col min="11" max="11" width="12.5703125" customWidth="1"/>
    <col min="12" max="12" width="1.5703125" customWidth="1"/>
    <col min="13" max="13" width="13.5703125" customWidth="1"/>
    <col min="14" max="14" width="1.140625" customWidth="1"/>
    <col min="15" max="15" width="14.85546875" customWidth="1"/>
    <col min="16" max="16" width="2.5703125" customWidth="1"/>
    <col min="17" max="17" width="12.5703125" customWidth="1"/>
    <col min="18" max="18" width="1.85546875" customWidth="1"/>
    <col min="19" max="19" width="17.5703125" customWidth="1"/>
    <col min="20" max="20" width="1.85546875" customWidth="1"/>
    <col min="21" max="21" width="10.42578125" customWidth="1"/>
  </cols>
  <sheetData>
    <row r="1" spans="1:21" ht="15.75">
      <c r="A1" s="651" t="s">
        <v>114</v>
      </c>
    </row>
    <row r="2" spans="1:21" ht="15.75">
      <c r="A2" s="651" t="s">
        <v>114</v>
      </c>
    </row>
    <row r="3" spans="1:21" ht="18">
      <c r="A3" s="1294" t="s">
        <v>387</v>
      </c>
      <c r="B3" s="1294"/>
      <c r="C3" s="1294"/>
      <c r="D3" s="1294"/>
      <c r="E3" s="1294"/>
      <c r="F3" s="1294"/>
      <c r="G3" s="1294"/>
      <c r="H3" s="1294"/>
      <c r="I3" s="1294"/>
      <c r="J3" s="1294"/>
      <c r="K3" s="1294"/>
      <c r="L3" s="1294"/>
      <c r="M3" s="1294"/>
      <c r="N3" s="1294"/>
      <c r="O3" s="1294"/>
    </row>
    <row r="4" spans="1:21" ht="18">
      <c r="A4" s="1293" t="str">
        <f>"Cost of Service Formula Rate Using Actual/Projected FF1 Balances"</f>
        <v>Cost of Service Formula Rate Using Actual/Projected FF1 Balances</v>
      </c>
      <c r="B4" s="1293"/>
      <c r="C4" s="1293"/>
      <c r="D4" s="1293"/>
      <c r="E4" s="1293"/>
      <c r="F4" s="1293"/>
      <c r="G4" s="1293"/>
      <c r="H4" s="1293"/>
      <c r="I4" s="1293"/>
      <c r="J4" s="1293"/>
      <c r="K4" s="1293"/>
      <c r="L4" s="1293"/>
      <c r="M4" s="1293"/>
      <c r="N4" s="1293"/>
      <c r="O4" s="1293"/>
    </row>
    <row r="5" spans="1:21" ht="18">
      <c r="A5" s="1293" t="s">
        <v>239</v>
      </c>
      <c r="B5" s="1293"/>
      <c r="C5" s="1293"/>
      <c r="D5" s="1293"/>
      <c r="E5" s="1293"/>
      <c r="F5" s="1293"/>
      <c r="G5" s="1293"/>
      <c r="H5" s="1293"/>
      <c r="I5" s="1293"/>
      <c r="J5" s="1293"/>
      <c r="K5" s="1293"/>
      <c r="L5" s="1293"/>
      <c r="M5" s="1293"/>
      <c r="N5" s="1293"/>
      <c r="O5" s="1293"/>
    </row>
    <row r="6" spans="1:21" ht="18">
      <c r="A6" s="1287" t="str">
        <f>+TCOS!F9</f>
        <v>WHEELING POWER COMPANY</v>
      </c>
      <c r="B6" s="1287"/>
      <c r="C6" s="1287"/>
      <c r="D6" s="1287"/>
      <c r="E6" s="1287"/>
      <c r="F6" s="1287"/>
      <c r="G6" s="1287"/>
      <c r="H6" s="1287"/>
      <c r="I6" s="1287"/>
      <c r="J6" s="1287"/>
      <c r="K6" s="1287"/>
      <c r="L6" s="1287"/>
      <c r="M6" s="1287"/>
      <c r="N6" s="1287"/>
      <c r="O6" s="1287"/>
    </row>
    <row r="7" spans="1:21" ht="12.75" customHeight="1">
      <c r="A7" s="122"/>
      <c r="B7" s="122"/>
      <c r="C7" s="122"/>
      <c r="D7" s="122"/>
      <c r="E7" s="122"/>
      <c r="F7" s="122"/>
      <c r="G7" s="122"/>
      <c r="H7" s="122"/>
      <c r="I7" s="122"/>
      <c r="J7" s="122"/>
      <c r="K7" s="122"/>
      <c r="L7" s="122"/>
    </row>
    <row r="8" spans="1:21" ht="12.75" customHeight="1">
      <c r="A8" s="1319" t="s">
        <v>390</v>
      </c>
      <c r="B8" s="1319"/>
      <c r="C8" s="1319"/>
      <c r="D8" s="1319"/>
      <c r="E8" s="1319"/>
      <c r="F8" s="1319"/>
      <c r="G8" s="1319"/>
      <c r="H8" s="1319"/>
      <c r="I8" s="1319"/>
      <c r="J8" s="1319"/>
      <c r="K8" s="1319"/>
      <c r="L8" s="1319"/>
      <c r="M8" s="1319"/>
      <c r="N8" s="1319"/>
      <c r="O8" s="1319"/>
    </row>
    <row r="9" spans="1:21" ht="12.75" customHeight="1">
      <c r="A9" s="1319"/>
      <c r="B9" s="1319"/>
      <c r="C9" s="1319"/>
      <c r="D9" s="1319"/>
      <c r="E9" s="1319"/>
      <c r="F9" s="1319"/>
      <c r="G9" s="1319"/>
      <c r="H9" s="1319"/>
      <c r="I9" s="1319"/>
      <c r="J9" s="1319"/>
      <c r="K9" s="1319"/>
      <c r="L9" s="1319"/>
      <c r="M9" s="1319"/>
      <c r="N9" s="1319"/>
      <c r="O9" s="1319"/>
    </row>
    <row r="10" spans="1:21">
      <c r="A10" s="1319"/>
      <c r="B10" s="1319"/>
      <c r="C10" s="1319"/>
      <c r="D10" s="1319"/>
      <c r="E10" s="1319"/>
      <c r="F10" s="1319"/>
      <c r="G10" s="1319"/>
      <c r="H10" s="1319"/>
      <c r="I10" s="1319"/>
      <c r="J10" s="1319"/>
      <c r="K10" s="1319"/>
      <c r="L10" s="1319"/>
      <c r="M10" s="1319"/>
      <c r="N10" s="1319"/>
      <c r="O10" s="1319"/>
    </row>
    <row r="11" spans="1:21">
      <c r="A11" s="1319"/>
      <c r="B11" s="1319"/>
      <c r="C11" s="1319"/>
      <c r="D11" s="1319"/>
      <c r="E11" s="1319"/>
      <c r="F11" s="1319"/>
      <c r="G11" s="1319"/>
      <c r="H11" s="1319"/>
      <c r="I11" s="1319"/>
      <c r="J11" s="1319"/>
      <c r="K11" s="1319"/>
      <c r="L11" s="1319"/>
      <c r="M11" s="1319"/>
      <c r="N11" s="1319"/>
      <c r="O11" s="1319"/>
    </row>
    <row r="12" spans="1:21">
      <c r="B12" s="1" t="s">
        <v>162</v>
      </c>
      <c r="C12" s="1"/>
      <c r="D12" s="1250" t="s">
        <v>163</v>
      </c>
      <c r="E12" s="1250"/>
      <c r="F12" s="1250"/>
      <c r="G12" s="1250"/>
      <c r="H12" s="1"/>
      <c r="I12" s="1" t="s">
        <v>4</v>
      </c>
      <c r="J12" s="1"/>
      <c r="K12" s="1" t="s">
        <v>165</v>
      </c>
      <c r="L12" s="1"/>
      <c r="M12" s="1" t="s">
        <v>84</v>
      </c>
      <c r="N12" s="1"/>
      <c r="O12" s="1" t="s">
        <v>85</v>
      </c>
      <c r="P12" s="1"/>
      <c r="Q12" s="1" t="s">
        <v>20</v>
      </c>
      <c r="R12" s="1"/>
      <c r="S12" s="1" t="s">
        <v>91</v>
      </c>
      <c r="T12" s="1"/>
      <c r="U12" s="76" t="s">
        <v>499</v>
      </c>
    </row>
    <row r="13" spans="1:21">
      <c r="I13" s="1318" t="s">
        <v>18</v>
      </c>
      <c r="Q13" s="1320" t="s">
        <v>19</v>
      </c>
      <c r="S13" s="1318" t="s">
        <v>21</v>
      </c>
      <c r="U13" s="221" t="s">
        <v>80</v>
      </c>
    </row>
    <row r="14" spans="1:21">
      <c r="A14" s="130" t="s">
        <v>17</v>
      </c>
      <c r="B14" s="130" t="s">
        <v>13</v>
      </c>
      <c r="C14" s="130"/>
      <c r="D14" s="158" t="s">
        <v>14</v>
      </c>
      <c r="E14" s="130"/>
      <c r="F14" s="130"/>
      <c r="G14" s="130"/>
      <c r="H14" s="130"/>
      <c r="I14" s="1305"/>
      <c r="J14" s="130"/>
      <c r="K14" s="130" t="s">
        <v>15</v>
      </c>
      <c r="L14" s="130"/>
      <c r="M14" s="130" t="s">
        <v>16</v>
      </c>
      <c r="N14" s="130"/>
      <c r="O14" s="130" t="s">
        <v>492</v>
      </c>
      <c r="Q14" s="1320"/>
      <c r="S14" s="1318"/>
      <c r="U14" s="221" t="s">
        <v>306</v>
      </c>
    </row>
    <row r="15" spans="1:21">
      <c r="A15" s="130"/>
      <c r="B15" s="130"/>
      <c r="C15" s="130"/>
      <c r="D15" s="158"/>
      <c r="E15" s="130"/>
      <c r="F15" s="130"/>
      <c r="G15" s="130"/>
      <c r="H15" s="130"/>
      <c r="I15" t="s">
        <v>490</v>
      </c>
      <c r="J15" s="130"/>
      <c r="K15" s="130"/>
      <c r="L15" s="130"/>
      <c r="M15" s="130"/>
      <c r="N15" s="130"/>
      <c r="O15" s="130"/>
      <c r="Q15" s="178"/>
      <c r="S15" s="130" t="s">
        <v>492</v>
      </c>
    </row>
    <row r="16" spans="1:21">
      <c r="I16" t="s">
        <v>491</v>
      </c>
    </row>
    <row r="17" spans="1:21">
      <c r="A17" s="1">
        <v>1</v>
      </c>
      <c r="B17" s="642"/>
      <c r="D17" s="1321"/>
      <c r="E17" s="1321"/>
      <c r="F17" s="1321"/>
      <c r="G17" s="1321"/>
      <c r="I17" s="643"/>
      <c r="K17" s="641"/>
      <c r="L17" s="101"/>
      <c r="M17" s="641"/>
      <c r="O17" s="131">
        <f>+K17-M17</f>
        <v>0</v>
      </c>
      <c r="Q17" s="166">
        <f>IF(I17="G",TCOS!L257,IF(I17="T",1,0))</f>
        <v>0</v>
      </c>
      <c r="S17" s="131">
        <f>ROUND(O17*Q17,0)</f>
        <v>0</v>
      </c>
      <c r="U17" s="644"/>
    </row>
    <row r="18" spans="1:21">
      <c r="A18" s="1"/>
      <c r="D18" s="1321"/>
      <c r="E18" s="1321"/>
      <c r="F18" s="1321"/>
      <c r="G18" s="1321"/>
      <c r="K18" s="101"/>
      <c r="L18" s="101"/>
      <c r="M18" s="101"/>
      <c r="O18" s="101"/>
      <c r="Q18" s="166"/>
      <c r="S18" s="101"/>
    </row>
    <row r="19" spans="1:21">
      <c r="A19" s="1"/>
      <c r="D19" s="1321"/>
      <c r="E19" s="1321"/>
      <c r="F19" s="1321"/>
      <c r="G19" s="1321"/>
      <c r="K19" s="101"/>
      <c r="L19" s="101"/>
      <c r="M19" s="101"/>
      <c r="O19" s="101"/>
      <c r="Q19" s="166"/>
      <c r="S19" s="101"/>
    </row>
    <row r="20" spans="1:21">
      <c r="A20" s="1"/>
      <c r="K20" s="101"/>
      <c r="L20" s="101"/>
      <c r="M20" s="101"/>
      <c r="O20" s="101"/>
      <c r="Q20" s="166"/>
      <c r="S20" s="101"/>
    </row>
    <row r="21" spans="1:21">
      <c r="A21" s="1"/>
      <c r="K21" s="101"/>
      <c r="L21" s="101"/>
      <c r="M21" s="101"/>
      <c r="O21" s="101"/>
      <c r="Q21" s="166"/>
      <c r="S21" s="101"/>
    </row>
    <row r="22" spans="1:21" ht="12" customHeight="1">
      <c r="A22" s="1">
        <f>+A17+1</f>
        <v>2</v>
      </c>
      <c r="B22" s="642"/>
      <c r="D22" s="1321"/>
      <c r="E22" s="1321"/>
      <c r="F22" s="1321"/>
      <c r="G22" s="1321"/>
      <c r="I22" s="643"/>
      <c r="K22" s="641"/>
      <c r="L22" s="101"/>
      <c r="M22" s="641"/>
      <c r="O22" s="131">
        <f>+K22-M22</f>
        <v>0</v>
      </c>
      <c r="Q22" s="166">
        <f>IF(I22="G",TCOS!L257,IF(I22="T",1,0))</f>
        <v>0</v>
      </c>
      <c r="S22" s="131">
        <f>ROUND(O22*Q22,0)</f>
        <v>0</v>
      </c>
      <c r="U22" s="644"/>
    </row>
    <row r="23" spans="1:21">
      <c r="A23" s="1"/>
      <c r="D23" s="1321"/>
      <c r="E23" s="1321"/>
      <c r="F23" s="1321"/>
      <c r="G23" s="1321"/>
      <c r="K23" s="101"/>
      <c r="L23" s="101"/>
      <c r="M23" s="101"/>
      <c r="O23" s="101"/>
      <c r="Q23" s="166"/>
      <c r="S23" s="101"/>
    </row>
    <row r="24" spans="1:21">
      <c r="A24" s="1"/>
      <c r="D24" s="1321"/>
      <c r="E24" s="1321"/>
      <c r="F24" s="1321"/>
      <c r="G24" s="1321"/>
      <c r="K24" s="101"/>
      <c r="L24" s="101"/>
      <c r="M24" s="101"/>
      <c r="O24" s="101"/>
      <c r="Q24" s="166"/>
      <c r="S24" s="101"/>
    </row>
    <row r="25" spans="1:21">
      <c r="A25" s="1"/>
      <c r="I25" s="1"/>
      <c r="K25" s="101"/>
      <c r="L25" s="101"/>
      <c r="M25" s="101"/>
      <c r="O25" s="101"/>
      <c r="Q25" s="166"/>
      <c r="S25" s="101"/>
    </row>
    <row r="26" spans="1:21">
      <c r="A26" s="1"/>
      <c r="I26" s="1"/>
      <c r="K26" s="101"/>
      <c r="L26" s="101"/>
      <c r="M26" s="101"/>
      <c r="O26" s="101"/>
      <c r="Q26" s="166"/>
      <c r="S26" s="101"/>
    </row>
    <row r="27" spans="1:21">
      <c r="A27" s="1">
        <f>+A22+1</f>
        <v>3</v>
      </c>
      <c r="B27" s="642"/>
      <c r="D27" s="1321"/>
      <c r="E27" s="1321"/>
      <c r="F27" s="1321"/>
      <c r="G27" s="1321"/>
      <c r="I27" s="643"/>
      <c r="K27" s="641"/>
      <c r="L27" s="101"/>
      <c r="M27" s="641"/>
      <c r="O27" s="131">
        <f>+K27-M27</f>
        <v>0</v>
      </c>
      <c r="Q27" s="166">
        <f>IF(I27="G",TCOS!L257,IF(I27="T",1,0))</f>
        <v>0</v>
      </c>
      <c r="S27" s="131">
        <f>ROUND(O27*Q27,0)</f>
        <v>0</v>
      </c>
      <c r="U27" s="644"/>
    </row>
    <row r="28" spans="1:21">
      <c r="A28" s="1"/>
      <c r="D28" s="1321"/>
      <c r="E28" s="1321"/>
      <c r="F28" s="1321"/>
      <c r="G28" s="1321"/>
      <c r="K28" s="101"/>
      <c r="L28" s="101"/>
      <c r="M28" s="101"/>
      <c r="O28" s="101"/>
      <c r="Q28" s="166"/>
      <c r="S28" s="101"/>
    </row>
    <row r="29" spans="1:21">
      <c r="A29" s="1"/>
      <c r="D29" s="1321"/>
      <c r="E29" s="1321"/>
      <c r="F29" s="1321"/>
      <c r="G29" s="1321"/>
      <c r="K29" s="101"/>
      <c r="L29" s="101"/>
      <c r="M29" s="101"/>
      <c r="O29" s="101"/>
      <c r="Q29" s="166"/>
    </row>
    <row r="30" spans="1:21">
      <c r="A30" s="1"/>
      <c r="O30" s="101"/>
      <c r="Q30" s="166"/>
    </row>
    <row r="31" spans="1:21">
      <c r="A31" s="1"/>
      <c r="O31" s="101"/>
      <c r="Q31" s="166"/>
    </row>
    <row r="32" spans="1:21">
      <c r="A32" s="1"/>
      <c r="O32" s="101"/>
      <c r="Q32" s="166"/>
    </row>
    <row r="33" spans="1:19" ht="13.5" thickBot="1">
      <c r="A33" s="1">
        <f>+A27+1</f>
        <v>4</v>
      </c>
      <c r="K33" t="str">
        <f>"Net (Gain) or Loss for "&amp;TCOS!L4&amp;""</f>
        <v>Net (Gain) or Loss for 2025</v>
      </c>
      <c r="O33" s="176">
        <f>SUM(O17:O27)</f>
        <v>0</v>
      </c>
      <c r="Q33" s="177"/>
      <c r="S33" s="176">
        <f>SUM(S17:S27)</f>
        <v>0</v>
      </c>
    </row>
    <row r="34" spans="1:19" ht="13.5" thickTop="1">
      <c r="A34" s="1"/>
      <c r="O34" s="101"/>
      <c r="Q34" s="177"/>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6"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Q182"/>
  <sheetViews>
    <sheetView tabSelected="1" view="pageBreakPreview" topLeftCell="A8" zoomScale="85" zoomScaleNormal="75" zoomScaleSheetLayoutView="85" workbookViewId="0">
      <selection activeCell="D3" sqref="D3"/>
    </sheetView>
  </sheetViews>
  <sheetFormatPr defaultColWidth="9.140625" defaultRowHeight="12.75"/>
  <cols>
    <col min="1" max="1" width="8.140625" style="869" customWidth="1"/>
    <col min="2" max="2" width="28.85546875" style="869" customWidth="1"/>
    <col min="3" max="3" width="17.85546875" style="869" customWidth="1"/>
    <col min="4" max="4" width="19.42578125" style="869" customWidth="1"/>
    <col min="5" max="6" width="19.85546875" style="869" customWidth="1"/>
    <col min="7" max="7" width="21.42578125" style="869" customWidth="1"/>
    <col min="8" max="9" width="19.85546875" style="869" customWidth="1"/>
    <col min="10" max="10" width="21.42578125" style="869" customWidth="1"/>
    <col min="11" max="11" width="18.140625" style="869" customWidth="1"/>
    <col min="12" max="12" width="22.42578125" style="869" customWidth="1"/>
    <col min="13" max="13" width="22.140625" style="869" customWidth="1"/>
    <col min="14" max="14" width="11.140625" style="869" customWidth="1"/>
    <col min="15" max="15" width="11.42578125" style="869" bestFit="1" customWidth="1"/>
    <col min="16" max="16" width="12.42578125" style="869" customWidth="1"/>
    <col min="17" max="17" width="9.140625" style="869"/>
    <col min="18" max="18" width="10.42578125" style="869" bestFit="1" customWidth="1"/>
    <col min="19" max="19" width="9.140625" style="869"/>
    <col min="20" max="20" width="12.85546875" style="869" customWidth="1"/>
    <col min="21" max="21" width="13.5703125" style="869" customWidth="1"/>
    <col min="22" max="16384" width="9.140625" style="869"/>
  </cols>
  <sheetData>
    <row r="1" spans="1:17" ht="15.75">
      <c r="A1" s="868" t="s">
        <v>114</v>
      </c>
    </row>
    <row r="2" spans="1:17" ht="15.75">
      <c r="A2" s="868" t="s">
        <v>114</v>
      </c>
    </row>
    <row r="3" spans="1:17" ht="15.75">
      <c r="A3" s="1328" t="s">
        <v>387</v>
      </c>
      <c r="B3" s="1328"/>
      <c r="C3" s="1328"/>
      <c r="D3" s="1328"/>
      <c r="E3" s="1328"/>
      <c r="F3" s="1328"/>
      <c r="G3" s="1328"/>
      <c r="H3" s="1328"/>
      <c r="I3" s="1328"/>
      <c r="J3" s="1328"/>
      <c r="K3" s="1328"/>
      <c r="L3" s="870"/>
      <c r="M3" s="870"/>
      <c r="N3" s="871"/>
      <c r="O3" s="871"/>
      <c r="P3" s="871"/>
      <c r="Q3" s="871"/>
    </row>
    <row r="4" spans="1:17" ht="15.75">
      <c r="A4" s="1329" t="str">
        <f>"Cost of Service Formula Rate Using Actual/Projected FF1 Balances"</f>
        <v>Cost of Service Formula Rate Using Actual/Projected FF1 Balances</v>
      </c>
      <c r="B4" s="1330"/>
      <c r="C4" s="1330"/>
      <c r="D4" s="1330"/>
      <c r="E4" s="1330"/>
      <c r="F4" s="1330"/>
      <c r="G4" s="1330"/>
      <c r="H4" s="1330"/>
      <c r="I4" s="1330"/>
      <c r="J4" s="1330"/>
      <c r="K4" s="1330"/>
      <c r="L4" s="872"/>
      <c r="M4" s="874"/>
      <c r="N4" s="875"/>
      <c r="O4" s="875"/>
      <c r="P4" s="875"/>
      <c r="Q4" s="875"/>
    </row>
    <row r="5" spans="1:17" ht="15.75">
      <c r="A5" s="1329" t="s">
        <v>843</v>
      </c>
      <c r="B5" s="1329"/>
      <c r="C5" s="1329"/>
      <c r="D5" s="1329"/>
      <c r="E5" s="1329"/>
      <c r="F5" s="1329"/>
      <c r="G5" s="1329"/>
      <c r="H5" s="1329"/>
      <c r="I5" s="1329"/>
      <c r="J5" s="1329"/>
      <c r="K5" s="1329"/>
      <c r="L5" s="872"/>
      <c r="M5" s="876"/>
      <c r="N5" s="876"/>
      <c r="O5" s="876"/>
      <c r="P5" s="876"/>
      <c r="Q5" s="876"/>
    </row>
    <row r="6" spans="1:17" ht="15.75">
      <c r="A6" s="1331" t="str">
        <f>TCOS!F9</f>
        <v>WHEELING POWER COMPANY</v>
      </c>
      <c r="B6" s="1331"/>
      <c r="C6" s="1331"/>
      <c r="D6" s="1331"/>
      <c r="E6" s="1331"/>
      <c r="F6" s="1331"/>
      <c r="G6" s="1331"/>
      <c r="H6" s="1331"/>
      <c r="I6" s="1331"/>
      <c r="J6" s="1331"/>
      <c r="K6" s="1331"/>
      <c r="L6" s="877"/>
      <c r="M6" s="877"/>
      <c r="N6" s="878"/>
      <c r="O6" s="878"/>
      <c r="P6" s="878"/>
      <c r="Q6" s="878"/>
    </row>
    <row r="9" spans="1:17">
      <c r="B9" s="1324"/>
      <c r="C9" s="1324"/>
      <c r="D9" s="1324"/>
      <c r="E9" s="1324"/>
      <c r="F9" s="1324"/>
      <c r="G9" s="1324"/>
      <c r="H9" s="1324"/>
      <c r="I9" s="1324"/>
      <c r="J9" s="1324"/>
      <c r="K9" s="1324"/>
      <c r="L9" s="1324"/>
      <c r="M9" s="1324"/>
      <c r="N9" s="880"/>
      <c r="O9" s="880"/>
      <c r="P9" s="880"/>
      <c r="Q9" s="880"/>
    </row>
    <row r="10" spans="1:17">
      <c r="I10" s="880"/>
      <c r="J10" s="880"/>
      <c r="K10" s="880"/>
      <c r="L10" s="880"/>
      <c r="M10" s="880"/>
      <c r="N10" s="880"/>
      <c r="O10" s="880"/>
      <c r="P10" s="880"/>
      <c r="Q10" s="880"/>
    </row>
    <row r="11" spans="1:17">
      <c r="I11" s="880"/>
      <c r="J11" s="880"/>
      <c r="K11" s="880"/>
      <c r="L11" s="880"/>
      <c r="M11" s="880"/>
      <c r="N11" s="880"/>
      <c r="O11" s="880"/>
      <c r="P11" s="880"/>
      <c r="Q11" s="880"/>
    </row>
    <row r="12" spans="1:17">
      <c r="A12" s="873">
        <v>1</v>
      </c>
      <c r="B12" s="869" t="s">
        <v>817</v>
      </c>
      <c r="E12" s="902">
        <v>-203719238.61753508</v>
      </c>
      <c r="J12" s="880"/>
      <c r="K12" s="880"/>
      <c r="L12" s="880"/>
      <c r="M12" s="880"/>
      <c r="N12" s="880"/>
      <c r="O12" s="880"/>
      <c r="P12" s="880"/>
      <c r="Q12" s="880"/>
    </row>
    <row r="13" spans="1:17">
      <c r="J13" s="880"/>
      <c r="K13" s="880"/>
      <c r="L13" s="880"/>
      <c r="M13" s="880"/>
      <c r="N13" s="880"/>
      <c r="O13" s="880"/>
      <c r="P13" s="880"/>
      <c r="Q13" s="880"/>
    </row>
    <row r="14" spans="1:17">
      <c r="B14" s="1327" t="str">
        <f>"Allocation of PBOP Settlement Amount for "&amp;TCOS!L4&amp;""</f>
        <v>Allocation of PBOP Settlement Amount for 2025</v>
      </c>
      <c r="C14" s="1327"/>
      <c r="D14" s="881"/>
      <c r="E14" s="881"/>
      <c r="F14" s="881"/>
      <c r="G14" s="881"/>
      <c r="H14" s="881"/>
      <c r="I14" s="881"/>
      <c r="J14" s="881"/>
      <c r="K14" s="881"/>
      <c r="L14" s="881"/>
      <c r="M14" s="881"/>
      <c r="N14" s="880"/>
      <c r="O14" s="880"/>
      <c r="P14" s="880"/>
      <c r="Q14" s="880"/>
    </row>
    <row r="15" spans="1:17">
      <c r="C15" s="1324" t="s">
        <v>818</v>
      </c>
      <c r="D15" s="1324"/>
      <c r="E15" s="1324"/>
      <c r="F15" s="879"/>
      <c r="N15" s="880"/>
      <c r="O15" s="880"/>
      <c r="P15" s="880"/>
      <c r="Q15" s="880"/>
    </row>
    <row r="16" spans="1:17">
      <c r="C16" s="1325" t="s">
        <v>819</v>
      </c>
      <c r="D16" s="1325" t="s">
        <v>820</v>
      </c>
      <c r="E16" s="1325" t="s">
        <v>821</v>
      </c>
      <c r="F16" s="899"/>
      <c r="G16" s="899"/>
      <c r="H16" s="899"/>
      <c r="I16" s="1325" t="s">
        <v>822</v>
      </c>
      <c r="N16" s="880"/>
      <c r="O16" s="880"/>
      <c r="P16" s="880"/>
      <c r="Q16" s="880"/>
    </row>
    <row r="17" spans="1:17" ht="12.75" customHeight="1">
      <c r="C17" s="1322"/>
      <c r="D17" s="1322"/>
      <c r="E17" s="1322"/>
      <c r="F17" s="1325" t="str">
        <f>"Labor Allocator for "&amp;TCOS!L4&amp;""</f>
        <v>Labor Allocator for 2025</v>
      </c>
      <c r="G17" s="901"/>
      <c r="H17" s="1326" t="s">
        <v>823</v>
      </c>
      <c r="I17" s="1325"/>
      <c r="N17" s="880"/>
      <c r="O17" s="880"/>
      <c r="P17" s="880"/>
      <c r="Q17" s="880"/>
    </row>
    <row r="18" spans="1:17">
      <c r="A18" s="882" t="s">
        <v>824</v>
      </c>
      <c r="B18" s="879" t="s">
        <v>183</v>
      </c>
      <c r="C18" s="1322"/>
      <c r="D18" s="1322"/>
      <c r="E18" s="1322"/>
      <c r="F18" s="1325"/>
      <c r="G18" s="904" t="s">
        <v>825</v>
      </c>
      <c r="H18" s="1326"/>
      <c r="I18" s="1325"/>
      <c r="N18" s="880"/>
      <c r="O18" s="880"/>
      <c r="P18" s="880"/>
      <c r="Q18" s="880"/>
    </row>
    <row r="19" spans="1:17">
      <c r="B19" s="879"/>
      <c r="C19" s="889"/>
      <c r="D19" s="889"/>
      <c r="E19" s="889"/>
      <c r="F19" s="899"/>
      <c r="G19" s="901"/>
      <c r="H19" s="901"/>
      <c r="I19" s="889"/>
      <c r="N19" s="880"/>
      <c r="O19" s="880"/>
      <c r="P19" s="880"/>
      <c r="Q19" s="880"/>
    </row>
    <row r="20" spans="1:17" ht="25.5">
      <c r="B20" s="879"/>
      <c r="C20" s="899" t="s">
        <v>162</v>
      </c>
      <c r="D20" s="899" t="s">
        <v>826</v>
      </c>
      <c r="E20" s="900" t="str">
        <f>"(C )=(B) * "&amp;E12&amp;""</f>
        <v>(C )=(B) * -203719238.617535</v>
      </c>
      <c r="F20" s="899" t="s">
        <v>165</v>
      </c>
      <c r="G20" s="905" t="s">
        <v>827</v>
      </c>
      <c r="H20" s="905" t="s">
        <v>828</v>
      </c>
      <c r="I20" s="900" t="s">
        <v>829</v>
      </c>
      <c r="N20" s="880"/>
      <c r="O20" s="880"/>
      <c r="P20" s="880"/>
      <c r="Q20" s="880"/>
    </row>
    <row r="21" spans="1:17">
      <c r="B21" s="879"/>
      <c r="C21" s="899" t="str">
        <f>"(Line "&amp;A47&amp;")"</f>
        <v>(Line 14)</v>
      </c>
      <c r="D21" s="899"/>
      <c r="E21" s="900"/>
      <c r="F21" s="899"/>
      <c r="G21" s="901"/>
      <c r="H21" s="903"/>
      <c r="I21" s="900"/>
      <c r="N21" s="880"/>
      <c r="O21" s="880"/>
      <c r="P21" s="880"/>
      <c r="Q21" s="880"/>
    </row>
    <row r="22" spans="1:17">
      <c r="A22" s="869">
        <v>2</v>
      </c>
      <c r="B22" s="869" t="s">
        <v>830</v>
      </c>
      <c r="C22" s="960">
        <f>D47</f>
        <v>-15301519.658836434</v>
      </c>
      <c r="D22" s="906">
        <f t="shared" ref="D22:D27" si="0">+C22/C$28</f>
        <v>0.36412705758197317</v>
      </c>
      <c r="E22" s="888">
        <f t="shared" ref="E22:E27" si="1">ROUND(D22*E$28,0)</f>
        <v>-74179687</v>
      </c>
      <c r="F22" s="1060">
        <v>0.11936202903264627</v>
      </c>
      <c r="G22" s="901">
        <f t="shared" ref="G22:G27" si="2">+C22*F22</f>
        <v>-1826420.4337616421</v>
      </c>
      <c r="H22" s="901">
        <f t="shared" ref="H22:H27" si="3">+F22*E22</f>
        <v>-8854237.9533266127</v>
      </c>
      <c r="I22" s="888">
        <f t="shared" ref="I22:I27" si="4">+G22-H22</f>
        <v>7027817.5195649704</v>
      </c>
      <c r="N22" s="880"/>
      <c r="O22" s="880"/>
      <c r="P22" s="880"/>
      <c r="Q22" s="880"/>
    </row>
    <row r="23" spans="1:17">
      <c r="A23" s="869">
        <f t="shared" ref="A23:A28" si="5">+A22+1</f>
        <v>3</v>
      </c>
      <c r="B23" s="869" t="s">
        <v>831</v>
      </c>
      <c r="C23" s="960">
        <f>F47</f>
        <v>-10542358.114148542</v>
      </c>
      <c r="D23" s="906">
        <f t="shared" si="0"/>
        <v>0.25087428736945838</v>
      </c>
      <c r="E23" s="888">
        <f t="shared" si="1"/>
        <v>-51107919</v>
      </c>
      <c r="F23" s="1060">
        <v>4.9622134516203481E-2</v>
      </c>
      <c r="G23" s="901">
        <f t="shared" si="2"/>
        <v>-523134.31245826819</v>
      </c>
      <c r="H23" s="901">
        <f t="shared" si="3"/>
        <v>-2536084.0314612319</v>
      </c>
      <c r="I23" s="888">
        <f t="shared" si="4"/>
        <v>2012949.7190029637</v>
      </c>
      <c r="N23" s="880"/>
      <c r="O23" s="880"/>
      <c r="P23" s="880"/>
      <c r="Q23" s="880"/>
    </row>
    <row r="24" spans="1:17">
      <c r="A24" s="869">
        <f t="shared" si="5"/>
        <v>4</v>
      </c>
      <c r="B24" s="869" t="s">
        <v>832</v>
      </c>
      <c r="C24" s="960">
        <f>G47</f>
        <v>-3474539.3644135403</v>
      </c>
      <c r="D24" s="906">
        <f t="shared" si="0"/>
        <v>8.2682885322832619E-2</v>
      </c>
      <c r="E24" s="888">
        <f t="shared" si="1"/>
        <v>-16844094</v>
      </c>
      <c r="F24" s="1060">
        <v>0.11037346423821143</v>
      </c>
      <c r="G24" s="901">
        <f t="shared" si="2"/>
        <v>-383496.94628235576</v>
      </c>
      <c r="H24" s="901">
        <f t="shared" si="3"/>
        <v>-1859141.0067340718</v>
      </c>
      <c r="I24" s="888">
        <f t="shared" si="4"/>
        <v>1475644.060451716</v>
      </c>
      <c r="N24" s="880"/>
      <c r="O24" s="880"/>
      <c r="P24" s="880"/>
      <c r="Q24" s="880"/>
    </row>
    <row r="25" spans="1:17">
      <c r="A25" s="869">
        <f t="shared" si="5"/>
        <v>5</v>
      </c>
      <c r="B25" s="869" t="s">
        <v>833</v>
      </c>
      <c r="C25" s="960">
        <f>H47</f>
        <v>-393490.40255542228</v>
      </c>
      <c r="D25" s="906">
        <f t="shared" si="0"/>
        <v>9.3638086715465141E-3</v>
      </c>
      <c r="E25" s="888">
        <f t="shared" si="1"/>
        <v>-1907588</v>
      </c>
      <c r="F25" s="1060">
        <v>0.12397626165284048</v>
      </c>
      <c r="G25" s="901">
        <f t="shared" si="2"/>
        <v>-48783.469105092561</v>
      </c>
      <c r="H25" s="901">
        <f t="shared" si="3"/>
        <v>-236495.62901381866</v>
      </c>
      <c r="I25" s="888">
        <f t="shared" si="4"/>
        <v>187712.15990872611</v>
      </c>
      <c r="N25" s="880"/>
      <c r="O25" s="880"/>
      <c r="P25" s="880"/>
      <c r="Q25" s="880"/>
    </row>
    <row r="26" spans="1:17">
      <c r="A26" s="869">
        <f t="shared" si="5"/>
        <v>6</v>
      </c>
      <c r="B26" s="869" t="s">
        <v>834</v>
      </c>
      <c r="C26" s="960">
        <f>I47</f>
        <v>-11437962.325379781</v>
      </c>
      <c r="D26" s="906">
        <f t="shared" si="0"/>
        <v>0.27218679315089095</v>
      </c>
      <c r="E26" s="888">
        <f t="shared" si="1"/>
        <v>-55449686</v>
      </c>
      <c r="F26" s="1060">
        <v>0.15100284283719081</v>
      </c>
      <c r="G26" s="901">
        <f t="shared" si="2"/>
        <v>-1727164.8273970326</v>
      </c>
      <c r="H26" s="901">
        <f t="shared" si="3"/>
        <v>-8373060.2204295797</v>
      </c>
      <c r="I26" s="888">
        <f t="shared" si="4"/>
        <v>6645895.3930325471</v>
      </c>
      <c r="N26" s="880"/>
      <c r="O26" s="880"/>
      <c r="P26" s="880"/>
      <c r="Q26" s="880"/>
    </row>
    <row r="27" spans="1:17">
      <c r="A27" s="869">
        <f t="shared" si="5"/>
        <v>7</v>
      </c>
      <c r="B27" s="869" t="s">
        <v>835</v>
      </c>
      <c r="C27" s="970">
        <f>J47</f>
        <v>-872603.71970525081</v>
      </c>
      <c r="D27" s="906">
        <f t="shared" si="0"/>
        <v>2.0765167903298274E-2</v>
      </c>
      <c r="E27" s="907">
        <f t="shared" si="1"/>
        <v>-4230264</v>
      </c>
      <c r="F27" s="1061">
        <v>2.4194780770061278E-2</v>
      </c>
      <c r="G27" s="908">
        <f t="shared" si="2"/>
        <v>-21112.455697408543</v>
      </c>
      <c r="H27" s="908">
        <f t="shared" si="3"/>
        <v>-102350.3100794825</v>
      </c>
      <c r="I27" s="907">
        <f t="shared" si="4"/>
        <v>81237.854382073958</v>
      </c>
      <c r="N27" s="880"/>
      <c r="O27" s="880"/>
      <c r="P27" s="880"/>
      <c r="Q27" s="880"/>
    </row>
    <row r="28" spans="1:17">
      <c r="A28" s="869">
        <f t="shared" si="5"/>
        <v>8</v>
      </c>
      <c r="B28" s="879" t="str">
        <f>"Sum of Lines "&amp;A22&amp;" to "&amp;A27&amp;""</f>
        <v>Sum of Lines 2 to 7</v>
      </c>
      <c r="C28" s="888">
        <f>SUM(C22:C27)</f>
        <v>-42022473.585038975</v>
      </c>
      <c r="E28" s="901">
        <f>+E12</f>
        <v>-203719238.61753508</v>
      </c>
      <c r="F28" s="901"/>
      <c r="G28" s="901">
        <f>SUM(G22:G27)</f>
        <v>-4530112.4447017992</v>
      </c>
      <c r="H28" s="901">
        <f>SUM(H22:H27)</f>
        <v>-21961369.151044793</v>
      </c>
      <c r="I28" s="901">
        <f>SUM(I22:I27)</f>
        <v>17431256.706342999</v>
      </c>
      <c r="N28" s="880"/>
      <c r="O28" s="880"/>
      <c r="P28" s="880"/>
      <c r="Q28" s="880"/>
    </row>
    <row r="29" spans="1:17">
      <c r="C29" s="888"/>
      <c r="N29" s="880"/>
      <c r="O29" s="880"/>
      <c r="P29" s="880"/>
      <c r="Q29" s="880"/>
    </row>
    <row r="30" spans="1:17">
      <c r="N30" s="880"/>
      <c r="O30" s="880"/>
      <c r="P30" s="880"/>
      <c r="Q30" s="880"/>
    </row>
    <row r="31" spans="1:17">
      <c r="J31" s="880"/>
      <c r="K31" s="880"/>
      <c r="L31" s="880"/>
      <c r="M31" s="880"/>
      <c r="N31" s="880"/>
      <c r="O31" s="880"/>
      <c r="P31" s="880"/>
      <c r="Q31" s="880"/>
    </row>
    <row r="32" spans="1:17">
      <c r="J32" s="880"/>
      <c r="K32" s="880"/>
      <c r="L32" s="880"/>
      <c r="M32" s="880"/>
      <c r="N32" s="880"/>
      <c r="O32" s="880"/>
      <c r="P32" s="880"/>
      <c r="Q32" s="880"/>
    </row>
    <row r="33" spans="1:17">
      <c r="B33" s="882" t="s">
        <v>844</v>
      </c>
      <c r="F33" s="883"/>
      <c r="J33" s="880"/>
      <c r="K33" s="880"/>
      <c r="L33" s="880"/>
      <c r="M33" s="880"/>
      <c r="N33" s="880"/>
      <c r="O33" s="880"/>
      <c r="P33" s="880"/>
      <c r="Q33" s="880"/>
    </row>
    <row r="34" spans="1:17">
      <c r="E34" s="883"/>
      <c r="I34" s="884"/>
      <c r="J34" s="880"/>
      <c r="K34" s="880"/>
      <c r="L34" s="880"/>
      <c r="M34" s="880"/>
      <c r="N34" s="880"/>
      <c r="O34" s="880"/>
      <c r="P34" s="880"/>
      <c r="Q34" s="880"/>
    </row>
    <row r="35" spans="1:17">
      <c r="D35" s="885" t="s">
        <v>830</v>
      </c>
      <c r="E35" s="886"/>
      <c r="F35" s="885" t="s">
        <v>831</v>
      </c>
      <c r="G35" s="885" t="s">
        <v>832</v>
      </c>
      <c r="H35" s="885" t="s">
        <v>836</v>
      </c>
      <c r="I35" s="887" t="s">
        <v>834</v>
      </c>
      <c r="J35" s="887" t="s">
        <v>835</v>
      </c>
      <c r="K35" s="887" t="s">
        <v>837</v>
      </c>
      <c r="L35" s="880"/>
      <c r="M35" s="880"/>
      <c r="N35" s="880"/>
      <c r="O35" s="880"/>
      <c r="P35" s="880"/>
      <c r="Q35" s="880"/>
    </row>
    <row r="36" spans="1:17">
      <c r="E36" s="880"/>
      <c r="I36" s="880"/>
      <c r="J36" s="880"/>
      <c r="K36" s="880"/>
      <c r="L36" s="880"/>
      <c r="M36" s="880"/>
      <c r="N36" s="880"/>
      <c r="O36" s="880"/>
      <c r="P36" s="880"/>
      <c r="Q36" s="880"/>
    </row>
    <row r="37" spans="1:17">
      <c r="A37" s="869">
        <f>+A28+1</f>
        <v>9</v>
      </c>
      <c r="B37" s="869" t="s">
        <v>838</v>
      </c>
      <c r="D37" s="1055">
        <v>-11724907</v>
      </c>
      <c r="E37" s="961"/>
      <c r="F37" s="1055">
        <v>-9493012</v>
      </c>
      <c r="G37" s="1055">
        <v>-2659203</v>
      </c>
      <c r="H37" s="1055">
        <v>-312354</v>
      </c>
      <c r="I37" s="1055">
        <v>-8286927</v>
      </c>
      <c r="J37" s="1055">
        <v>-605514</v>
      </c>
      <c r="K37" s="883">
        <f>SUM(D37:J37)</f>
        <v>-33081917</v>
      </c>
      <c r="L37" s="880" t="s">
        <v>114</v>
      </c>
      <c r="M37" s="880"/>
      <c r="N37" s="880"/>
      <c r="O37" s="880"/>
      <c r="P37" s="880"/>
      <c r="Q37" s="880"/>
    </row>
    <row r="38" spans="1:17">
      <c r="D38" s="888"/>
      <c r="E38" s="880"/>
      <c r="F38" s="888"/>
      <c r="G38" s="888"/>
      <c r="H38" s="888"/>
      <c r="I38" s="888"/>
      <c r="J38" s="888"/>
    </row>
    <row r="39" spans="1:17">
      <c r="A39" s="869">
        <f>+A37+1</f>
        <v>10</v>
      </c>
      <c r="B39" s="1322" t="s">
        <v>839</v>
      </c>
      <c r="C39" s="1322"/>
      <c r="D39" s="1055">
        <v>321470.5500000082</v>
      </c>
      <c r="E39" s="961"/>
      <c r="F39" s="1055">
        <v>1061571.0399999991</v>
      </c>
      <c r="G39" s="1055">
        <v>-144047.14999999758</v>
      </c>
      <c r="H39" s="1055">
        <v>0</v>
      </c>
      <c r="I39" s="1055">
        <v>-0.23999999836087227</v>
      </c>
      <c r="J39" s="1055">
        <v>144047.03000000009</v>
      </c>
      <c r="K39" s="883"/>
      <c r="L39" s="880"/>
      <c r="M39" s="880"/>
      <c r="N39" s="880"/>
      <c r="O39" s="880"/>
      <c r="P39" s="880"/>
      <c r="Q39" s="880"/>
    </row>
    <row r="40" spans="1:17">
      <c r="B40" s="1322"/>
      <c r="C40" s="1322"/>
      <c r="D40" s="883"/>
      <c r="E40" s="880"/>
      <c r="F40" s="883"/>
      <c r="G40" s="883"/>
      <c r="H40" s="883"/>
      <c r="I40" s="883"/>
      <c r="J40" s="883"/>
      <c r="L40" s="880"/>
      <c r="M40" s="880"/>
      <c r="N40" s="880"/>
      <c r="O40" s="880"/>
      <c r="P40" s="880"/>
      <c r="Q40" s="880"/>
    </row>
    <row r="41" spans="1:17">
      <c r="A41" s="869">
        <f>+A39+1</f>
        <v>11</v>
      </c>
      <c r="B41" s="869" t="s">
        <v>840</v>
      </c>
      <c r="D41" s="1055"/>
      <c r="E41" s="961"/>
      <c r="F41" s="1055"/>
      <c r="G41" s="1055"/>
      <c r="H41" s="1055"/>
      <c r="I41" s="1055"/>
      <c r="J41" s="1055"/>
      <c r="K41" s="883">
        <f>SUM(D41:J41)</f>
        <v>0</v>
      </c>
      <c r="L41" s="880"/>
      <c r="M41" s="880"/>
      <c r="N41" s="880"/>
      <c r="O41" s="880"/>
      <c r="P41" s="880"/>
      <c r="Q41" s="880"/>
    </row>
    <row r="42" spans="1:17">
      <c r="D42" s="890"/>
      <c r="E42" s="891"/>
      <c r="F42" s="890"/>
      <c r="G42" s="890"/>
      <c r="H42" s="890"/>
      <c r="I42" s="891"/>
      <c r="J42" s="891"/>
      <c r="K42" s="890"/>
      <c r="L42" s="880"/>
      <c r="M42" s="880"/>
      <c r="N42" s="880"/>
      <c r="O42" s="880"/>
      <c r="P42" s="880"/>
      <c r="Q42" s="880"/>
    </row>
    <row r="43" spans="1:17">
      <c r="A43" s="869">
        <f>+A41+1</f>
        <v>12</v>
      </c>
      <c r="B43" s="869" t="str">
        <f>"Net Company Expense (Ln "&amp;A37&amp;" + Ln "&amp;A39&amp;" + Ln  "&amp;A41&amp;")"</f>
        <v>Net Company Expense (Ln 9 + Ln 10 + Ln  11)</v>
      </c>
      <c r="D43" s="883">
        <f t="shared" ref="D43:J43" si="6">+D37+D41+D39</f>
        <v>-11403436.449999992</v>
      </c>
      <c r="E43" s="884"/>
      <c r="F43" s="883">
        <f t="shared" si="6"/>
        <v>-8431440.9600000009</v>
      </c>
      <c r="G43" s="883">
        <f t="shared" si="6"/>
        <v>-2803250.1499999976</v>
      </c>
      <c r="H43" s="883">
        <f t="shared" si="6"/>
        <v>-312354</v>
      </c>
      <c r="I43" s="883">
        <f t="shared" si="6"/>
        <v>-8286927.2399999984</v>
      </c>
      <c r="J43" s="883">
        <f t="shared" si="6"/>
        <v>-461466.96999999991</v>
      </c>
      <c r="K43" s="883">
        <f>SUM(D43:J43)</f>
        <v>-31698875.769999988</v>
      </c>
      <c r="L43" s="880"/>
      <c r="M43" s="880"/>
      <c r="N43" s="880"/>
      <c r="O43" s="880"/>
      <c r="P43" s="880"/>
      <c r="Q43" s="880"/>
    </row>
    <row r="44" spans="1:17">
      <c r="E44" s="880"/>
      <c r="G44" s="883">
        <f>+G40+G42</f>
        <v>0</v>
      </c>
      <c r="I44" s="880"/>
      <c r="J44" s="880"/>
      <c r="L44" s="892"/>
      <c r="M44" s="880"/>
      <c r="N44" s="880"/>
      <c r="O44" s="880"/>
      <c r="P44" s="880"/>
      <c r="Q44" s="880"/>
    </row>
    <row r="45" spans="1:17">
      <c r="A45" s="869">
        <f>+A43+1</f>
        <v>13</v>
      </c>
      <c r="B45" s="1322" t="s">
        <v>841</v>
      </c>
      <c r="C45" s="1322"/>
      <c r="D45" s="1055">
        <v>-3898083.2088364419</v>
      </c>
      <c r="E45" s="961"/>
      <c r="F45" s="1055">
        <v>-2110917.1541485414</v>
      </c>
      <c r="G45" s="1055">
        <v>-671289.21441354265</v>
      </c>
      <c r="H45" s="1055">
        <v>-81136.402555422246</v>
      </c>
      <c r="I45" s="1055">
        <v>-3151035.0853797835</v>
      </c>
      <c r="J45" s="1055">
        <v>-411136.7497052509</v>
      </c>
      <c r="K45" s="883">
        <f>SUM(D45:J45)</f>
        <v>-10323597.815038983</v>
      </c>
      <c r="L45" s="893" t="s">
        <v>114</v>
      </c>
      <c r="M45" s="880"/>
      <c r="N45" s="880"/>
      <c r="O45" s="880"/>
      <c r="P45" s="880"/>
      <c r="Q45" s="880"/>
    </row>
    <row r="46" spans="1:17">
      <c r="B46" s="1322"/>
      <c r="C46" s="1322"/>
      <c r="E46" s="880"/>
      <c r="I46" s="880"/>
      <c r="J46" s="880"/>
      <c r="L46" s="880"/>
      <c r="M46" s="880"/>
      <c r="N46" s="880"/>
      <c r="O46" s="880"/>
      <c r="P46" s="880"/>
      <c r="Q46" s="880"/>
    </row>
    <row r="47" spans="1:17" ht="13.5" thickBot="1">
      <c r="A47" s="869">
        <f>+A45+1</f>
        <v>14</v>
      </c>
      <c r="B47" s="869" t="str">
        <f>"Company PBOP Expense (Ln "&amp;A43&amp;" + Ln  "&amp;A45&amp;")"</f>
        <v>Company PBOP Expense (Ln 12 + Ln  13)</v>
      </c>
      <c r="D47" s="894">
        <f>+D45+D41+D39+D37</f>
        <v>-15301519.658836434</v>
      </c>
      <c r="E47" s="895"/>
      <c r="F47" s="894">
        <f>+F45+F41+F39+F37</f>
        <v>-10542358.114148542</v>
      </c>
      <c r="G47" s="894">
        <f>+G45+G41+G39+G37</f>
        <v>-3474539.3644135403</v>
      </c>
      <c r="H47" s="894">
        <f>+H45+H41+H39+H37</f>
        <v>-393490.40255542228</v>
      </c>
      <c r="I47" s="894">
        <f>+I45+I41+I39+I37</f>
        <v>-11437962.325379781</v>
      </c>
      <c r="J47" s="894">
        <f>+J45+J41+J39+J37</f>
        <v>-872603.71970525081</v>
      </c>
      <c r="K47" s="896">
        <f>SUM(D47:J47)</f>
        <v>-42022473.585038975</v>
      </c>
      <c r="L47" s="880"/>
      <c r="M47" s="880"/>
      <c r="N47" s="880"/>
      <c r="O47" s="880"/>
      <c r="P47" s="880"/>
      <c r="Q47" s="880"/>
    </row>
    <row r="48" spans="1:17" ht="13.5" thickTop="1">
      <c r="I48" s="880"/>
      <c r="J48" s="880"/>
      <c r="K48" s="880"/>
      <c r="L48" s="880"/>
      <c r="M48" s="880"/>
      <c r="N48" s="880"/>
      <c r="O48" s="880"/>
      <c r="P48" s="880"/>
      <c r="Q48" s="880"/>
    </row>
    <row r="49" spans="1:17">
      <c r="A49" s="1323" t="s">
        <v>842</v>
      </c>
      <c r="B49" s="1323"/>
      <c r="C49" s="1323"/>
      <c r="D49" s="1323"/>
      <c r="E49" s="1323"/>
      <c r="F49" s="1323"/>
      <c r="G49" s="1323"/>
      <c r="H49" s="1323"/>
      <c r="I49" s="1323"/>
      <c r="J49" s="1323"/>
      <c r="K49" s="1323"/>
      <c r="L49" s="897"/>
      <c r="M49" s="880"/>
      <c r="N49" s="880"/>
      <c r="O49" s="880"/>
      <c r="P49" s="880"/>
      <c r="Q49" s="880"/>
    </row>
    <row r="50" spans="1:17">
      <c r="A50" s="1323"/>
      <c r="B50" s="1323"/>
      <c r="C50" s="1323"/>
      <c r="D50" s="1323"/>
      <c r="E50" s="1323"/>
      <c r="F50" s="1323"/>
      <c r="G50" s="1323"/>
      <c r="H50" s="1323"/>
      <c r="I50" s="1323"/>
      <c r="J50" s="1323"/>
      <c r="K50" s="1323"/>
      <c r="L50" s="880"/>
      <c r="M50" s="880"/>
      <c r="N50" s="880"/>
      <c r="O50" s="880"/>
      <c r="P50" s="880"/>
      <c r="Q50" s="880"/>
    </row>
    <row r="51" spans="1:17">
      <c r="A51" s="1323"/>
      <c r="B51" s="1323"/>
      <c r="C51" s="1323"/>
      <c r="D51" s="1323"/>
      <c r="E51" s="1323"/>
      <c r="F51" s="1323"/>
      <c r="G51" s="1323"/>
      <c r="H51" s="1323"/>
      <c r="I51" s="1323"/>
      <c r="J51" s="1323"/>
      <c r="K51" s="1323"/>
      <c r="L51" s="880"/>
      <c r="M51" s="880"/>
      <c r="N51" s="880"/>
      <c r="O51" s="880"/>
      <c r="P51" s="880"/>
      <c r="Q51" s="880"/>
    </row>
    <row r="52" spans="1:17">
      <c r="A52" s="1323"/>
      <c r="B52" s="1323"/>
      <c r="C52" s="1323"/>
      <c r="D52" s="1323"/>
      <c r="E52" s="1323"/>
      <c r="F52" s="1323"/>
      <c r="G52" s="1323"/>
      <c r="H52" s="1323"/>
      <c r="I52" s="1323"/>
      <c r="J52" s="1323"/>
      <c r="K52" s="1323"/>
      <c r="Q52" s="880"/>
    </row>
    <row r="53" spans="1:17">
      <c r="A53" s="1323"/>
      <c r="B53" s="1323"/>
      <c r="C53" s="1323"/>
      <c r="D53" s="1323"/>
      <c r="E53" s="1323"/>
      <c r="F53" s="1323"/>
      <c r="G53" s="1323"/>
      <c r="H53" s="1323"/>
      <c r="I53" s="1323"/>
      <c r="J53" s="1323"/>
      <c r="K53" s="1323"/>
      <c r="Q53" s="880"/>
    </row>
    <row r="54" spans="1:17">
      <c r="A54" s="1323"/>
      <c r="B54" s="1323"/>
      <c r="C54" s="1323"/>
      <c r="D54" s="1323"/>
      <c r="E54" s="1323"/>
      <c r="F54" s="1323"/>
      <c r="G54" s="1323"/>
      <c r="H54" s="1323"/>
      <c r="I54" s="1323"/>
      <c r="J54" s="1323"/>
      <c r="K54" s="1323"/>
      <c r="Q54" s="880"/>
    </row>
    <row r="55" spans="1:17">
      <c r="A55" s="1323"/>
      <c r="B55" s="1323"/>
      <c r="C55" s="1323"/>
      <c r="D55" s="1323"/>
      <c r="E55" s="1323"/>
      <c r="F55" s="1323"/>
      <c r="G55" s="1323"/>
      <c r="H55" s="1323"/>
      <c r="I55" s="1323"/>
      <c r="J55" s="1323"/>
      <c r="K55" s="1323"/>
      <c r="Q55" s="880"/>
    </row>
    <row r="56" spans="1:17">
      <c r="A56" s="1323"/>
      <c r="B56" s="1323"/>
      <c r="C56" s="1323"/>
      <c r="D56" s="1323"/>
      <c r="E56" s="1323"/>
      <c r="F56" s="1323"/>
      <c r="G56" s="1323"/>
      <c r="H56" s="1323"/>
      <c r="I56" s="1323"/>
      <c r="J56" s="1323"/>
      <c r="K56" s="1323"/>
      <c r="Q56" s="880"/>
    </row>
    <row r="57" spans="1:17">
      <c r="A57" s="1323"/>
      <c r="B57" s="1323"/>
      <c r="C57" s="1323"/>
      <c r="D57" s="1323"/>
      <c r="E57" s="1323"/>
      <c r="F57" s="1323"/>
      <c r="G57" s="1323"/>
      <c r="H57" s="1323"/>
      <c r="I57" s="1323"/>
      <c r="J57" s="1323"/>
      <c r="K57" s="1323"/>
      <c r="Q57" s="880"/>
    </row>
    <row r="58" spans="1:17">
      <c r="Q58" s="898"/>
    </row>
    <row r="59" spans="1:17" ht="12.75" customHeight="1">
      <c r="G59" s="890"/>
    </row>
    <row r="60" spans="1:17" ht="12.75" customHeight="1"/>
    <row r="61" spans="1:17" ht="12.75" customHeight="1"/>
    <row r="77" spans="13:13">
      <c r="M77" s="888"/>
    </row>
    <row r="78" spans="13:13">
      <c r="M78" s="899"/>
    </row>
    <row r="79" spans="13:13">
      <c r="M79" s="889"/>
    </row>
    <row r="80" spans="13:13" ht="12.75" customHeight="1">
      <c r="M80" s="889"/>
    </row>
    <row r="81" spans="13:13">
      <c r="M81" s="889"/>
    </row>
    <row r="82" spans="13:13">
      <c r="M82" s="889"/>
    </row>
    <row r="83" spans="13:13">
      <c r="M83" s="900"/>
    </row>
    <row r="84" spans="13:13">
      <c r="M84" s="900"/>
    </row>
    <row r="85" spans="13:13">
      <c r="M85" s="888"/>
    </row>
    <row r="86" spans="13:13">
      <c r="M86" s="888"/>
    </row>
    <row r="87" spans="13:13">
      <c r="M87" s="888"/>
    </row>
    <row r="88" spans="13:13">
      <c r="M88" s="888"/>
    </row>
    <row r="89" spans="13:13">
      <c r="M89" s="888"/>
    </row>
    <row r="90" spans="13:13">
      <c r="M90" s="888"/>
    </row>
    <row r="91" spans="13:13">
      <c r="M91" s="888"/>
    </row>
    <row r="92" spans="13:13">
      <c r="M92" s="901"/>
    </row>
    <row r="94" spans="13:13">
      <c r="M94" s="888"/>
    </row>
    <row r="99" spans="13:13">
      <c r="M99" s="888"/>
    </row>
    <row r="100" spans="13:13">
      <c r="M100" s="899"/>
    </row>
    <row r="101" spans="13:13">
      <c r="M101" s="889"/>
    </row>
    <row r="102" spans="13:13" ht="12.75" customHeight="1">
      <c r="M102" s="889"/>
    </row>
    <row r="103" spans="13:13">
      <c r="M103" s="889"/>
    </row>
    <row r="104" spans="13:13">
      <c r="M104" s="889"/>
    </row>
    <row r="105" spans="13:13">
      <c r="M105" s="900"/>
    </row>
    <row r="106" spans="13:13">
      <c r="M106" s="900"/>
    </row>
    <row r="107" spans="13:13">
      <c r="M107" s="888"/>
    </row>
    <row r="108" spans="13:13">
      <c r="M108" s="888"/>
    </row>
    <row r="109" spans="13:13">
      <c r="M109" s="888"/>
    </row>
    <row r="110" spans="13:13">
      <c r="M110" s="888"/>
    </row>
    <row r="111" spans="13:13">
      <c r="M111" s="888"/>
    </row>
    <row r="112" spans="13:13">
      <c r="M112" s="888"/>
    </row>
    <row r="113" spans="13:13">
      <c r="M113" s="888"/>
    </row>
    <row r="114" spans="13:13">
      <c r="M114" s="901"/>
    </row>
    <row r="116" spans="13:13">
      <c r="M116" s="888"/>
    </row>
    <row r="121" spans="13:13">
      <c r="M121" s="888"/>
    </row>
    <row r="122" spans="13:13">
      <c r="M122" s="899"/>
    </row>
    <row r="123" spans="13:13">
      <c r="M123" s="889"/>
    </row>
    <row r="124" spans="13:13" ht="12.75" customHeight="1">
      <c r="M124" s="889"/>
    </row>
    <row r="125" spans="13:13">
      <c r="M125" s="889"/>
    </row>
    <row r="126" spans="13:13">
      <c r="M126" s="889"/>
    </row>
    <row r="127" spans="13:13">
      <c r="M127" s="900"/>
    </row>
    <row r="128" spans="13:13">
      <c r="M128" s="900"/>
    </row>
    <row r="129" spans="13:13">
      <c r="M129" s="888"/>
    </row>
    <row r="130" spans="13:13">
      <c r="M130" s="888"/>
    </row>
    <row r="131" spans="13:13">
      <c r="M131" s="888"/>
    </row>
    <row r="132" spans="13:13">
      <c r="M132" s="888"/>
    </row>
    <row r="133" spans="13:13">
      <c r="M133" s="888"/>
    </row>
    <row r="134" spans="13:13">
      <c r="M134" s="888"/>
    </row>
    <row r="135" spans="13:13">
      <c r="M135" s="888"/>
    </row>
    <row r="136" spans="13:13">
      <c r="M136" s="901"/>
    </row>
    <row r="138" spans="13:13">
      <c r="M138" s="888"/>
    </row>
    <row r="143" spans="13:13">
      <c r="M143" s="888"/>
    </row>
    <row r="144" spans="13:13">
      <c r="M144" s="899"/>
    </row>
    <row r="145" spans="13:13">
      <c r="M145" s="889"/>
    </row>
    <row r="146" spans="13:13" ht="12.75" customHeight="1">
      <c r="M146" s="889"/>
    </row>
    <row r="147" spans="13:13">
      <c r="M147" s="889"/>
    </row>
    <row r="148" spans="13:13">
      <c r="M148" s="889"/>
    </row>
    <row r="149" spans="13:13">
      <c r="M149" s="900"/>
    </row>
    <row r="150" spans="13:13">
      <c r="M150" s="900"/>
    </row>
    <row r="151" spans="13:13">
      <c r="M151" s="888"/>
    </row>
    <row r="152" spans="13:13">
      <c r="M152" s="888"/>
    </row>
    <row r="153" spans="13:13">
      <c r="M153" s="888"/>
    </row>
    <row r="154" spans="13:13">
      <c r="M154" s="888"/>
    </row>
    <row r="155" spans="13:13">
      <c r="M155" s="888"/>
    </row>
    <row r="156" spans="13:13">
      <c r="M156" s="888"/>
    </row>
    <row r="157" spans="13:13">
      <c r="M157" s="888"/>
    </row>
    <row r="158" spans="13:13">
      <c r="M158" s="901"/>
    </row>
    <row r="160" spans="13:13">
      <c r="M160" s="888"/>
    </row>
    <row r="165" spans="13:13">
      <c r="M165" s="888"/>
    </row>
    <row r="166" spans="13:13">
      <c r="M166" s="899"/>
    </row>
    <row r="167" spans="13:13" ht="12.75" customHeight="1">
      <c r="M167" s="889"/>
    </row>
    <row r="168" spans="13:13" ht="12.75" customHeight="1">
      <c r="M168" s="889"/>
    </row>
    <row r="169" spans="13:13">
      <c r="M169" s="889"/>
    </row>
    <row r="170" spans="13:13" ht="12.75" customHeight="1">
      <c r="M170" s="889"/>
    </row>
    <row r="171" spans="13:13">
      <c r="M171" s="900"/>
    </row>
    <row r="172" spans="13:13">
      <c r="M172" s="900"/>
    </row>
    <row r="173" spans="13:13">
      <c r="M173" s="888"/>
    </row>
    <row r="174" spans="13:13">
      <c r="M174" s="888"/>
    </row>
    <row r="175" spans="13:13">
      <c r="M175" s="888"/>
    </row>
    <row r="176" spans="13:13">
      <c r="M176" s="888"/>
    </row>
    <row r="177" spans="13:13">
      <c r="M177" s="888"/>
    </row>
    <row r="178" spans="13:13">
      <c r="M178" s="888"/>
    </row>
    <row r="179" spans="13:13">
      <c r="M179" s="888"/>
    </row>
    <row r="180" spans="13:13">
      <c r="M180" s="901"/>
    </row>
    <row r="182" spans="13:13">
      <c r="M182" s="888"/>
    </row>
  </sheetData>
  <mergeCells count="16">
    <mergeCell ref="B14:C14"/>
    <mergeCell ref="A3:K3"/>
    <mergeCell ref="A4:K4"/>
    <mergeCell ref="A5:K5"/>
    <mergeCell ref="A6:K6"/>
    <mergeCell ref="B9:M9"/>
    <mergeCell ref="B39:C40"/>
    <mergeCell ref="B45:C46"/>
    <mergeCell ref="A49:K57"/>
    <mergeCell ref="C15:E15"/>
    <mergeCell ref="C16:C18"/>
    <mergeCell ref="D16:D18"/>
    <mergeCell ref="E16:E18"/>
    <mergeCell ref="I16:I18"/>
    <mergeCell ref="F17:F18"/>
    <mergeCell ref="H17:H18"/>
  </mergeCells>
  <pageMargins left="0.32" right="0.25" top="1" bottom="0.43" header="0.75" footer="0.17"/>
  <pageSetup scale="63" orientation="landscape" r:id="rId1"/>
  <headerFooter alignWithMargins="0">
    <oddHeader>&amp;R&amp;"Arial,Bold"Formula Rate 
&amp;A
Page &amp;P of &amp;N</oddHeader>
  </headerFooter>
  <rowBreaks count="1" manualBreakCount="1">
    <brk id="137"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0">
    <pageSetUpPr fitToPage="1"/>
  </sheetPr>
  <dimension ref="A1:S56"/>
  <sheetViews>
    <sheetView tabSelected="1" defaultGridColor="0" view="pageBreakPreview" colorId="22" zoomScale="60" zoomScaleNormal="70" workbookViewId="0">
      <selection activeCell="D3" sqref="D3"/>
    </sheetView>
  </sheetViews>
  <sheetFormatPr defaultColWidth="14.7109375" defaultRowHeight="12.75"/>
  <cols>
    <col min="1" max="1" width="33.140625" customWidth="1"/>
    <col min="2" max="2" width="11" customWidth="1"/>
    <col min="3" max="3" width="16.85546875" customWidth="1"/>
    <col min="4" max="4" width="16.7109375" customWidth="1"/>
    <col min="5" max="5" width="14.7109375" customWidth="1"/>
    <col min="6" max="6" width="4.85546875" customWidth="1"/>
    <col min="7" max="7" width="14.7109375" customWidth="1"/>
    <col min="8" max="8" width="18.28515625" customWidth="1"/>
    <col min="9" max="9" width="15.5703125" customWidth="1"/>
    <col min="10" max="10" width="6.140625" customWidth="1"/>
    <col min="11" max="11" width="14.7109375" customWidth="1"/>
    <col min="12" max="12" width="16.140625" customWidth="1"/>
    <col min="13" max="13" width="14.7109375" customWidth="1"/>
    <col min="14" max="14" width="4.85546875" customWidth="1"/>
    <col min="15" max="15" width="18.5703125" customWidth="1"/>
    <col min="257" max="257" width="33.140625" customWidth="1"/>
    <col min="258" max="258" width="11" customWidth="1"/>
    <col min="259" max="259" width="16.85546875" customWidth="1"/>
    <col min="260" max="260" width="16.7109375" customWidth="1"/>
    <col min="261" max="261" width="14.7109375" customWidth="1"/>
    <col min="262" max="262" width="4.85546875" customWidth="1"/>
    <col min="263" max="263" width="14.7109375" customWidth="1"/>
    <col min="264" max="264" width="18.28515625" customWidth="1"/>
    <col min="265" max="265" width="15.5703125" customWidth="1"/>
    <col min="266" max="266" width="6.140625" customWidth="1"/>
    <col min="267" max="267" width="14.7109375" customWidth="1"/>
    <col min="268" max="268" width="16.140625" customWidth="1"/>
    <col min="269" max="269" width="14.7109375" customWidth="1"/>
    <col min="270" max="270" width="4.85546875" customWidth="1"/>
    <col min="271" max="271" width="18.5703125" customWidth="1"/>
    <col min="513" max="513" width="33.140625" customWidth="1"/>
    <col min="514" max="514" width="11" customWidth="1"/>
    <col min="515" max="515" width="16.85546875" customWidth="1"/>
    <col min="516" max="516" width="16.7109375" customWidth="1"/>
    <col min="517" max="517" width="14.7109375" customWidth="1"/>
    <col min="518" max="518" width="4.85546875" customWidth="1"/>
    <col min="519" max="519" width="14.7109375" customWidth="1"/>
    <col min="520" max="520" width="18.28515625" customWidth="1"/>
    <col min="521" max="521" width="15.5703125" customWidth="1"/>
    <col min="522" max="522" width="6.140625" customWidth="1"/>
    <col min="523" max="523" width="14.7109375" customWidth="1"/>
    <col min="524" max="524" width="16.140625" customWidth="1"/>
    <col min="525" max="525" width="14.7109375" customWidth="1"/>
    <col min="526" max="526" width="4.85546875" customWidth="1"/>
    <col min="527" max="527" width="18.5703125" customWidth="1"/>
    <col min="769" max="769" width="33.140625" customWidth="1"/>
    <col min="770" max="770" width="11" customWidth="1"/>
    <col min="771" max="771" width="16.85546875" customWidth="1"/>
    <col min="772" max="772" width="16.7109375" customWidth="1"/>
    <col min="773" max="773" width="14.7109375" customWidth="1"/>
    <col min="774" max="774" width="4.85546875" customWidth="1"/>
    <col min="775" max="775" width="14.7109375" customWidth="1"/>
    <col min="776" max="776" width="18.28515625" customWidth="1"/>
    <col min="777" max="777" width="15.5703125" customWidth="1"/>
    <col min="778" max="778" width="6.140625" customWidth="1"/>
    <col min="779" max="779" width="14.7109375" customWidth="1"/>
    <col min="780" max="780" width="16.140625" customWidth="1"/>
    <col min="781" max="781" width="14.7109375" customWidth="1"/>
    <col min="782" max="782" width="4.85546875" customWidth="1"/>
    <col min="783" max="783" width="18.5703125" customWidth="1"/>
    <col min="1025" max="1025" width="33.140625" customWidth="1"/>
    <col min="1026" max="1026" width="11" customWidth="1"/>
    <col min="1027" max="1027" width="16.85546875" customWidth="1"/>
    <col min="1028" max="1028" width="16.7109375" customWidth="1"/>
    <col min="1029" max="1029" width="14.7109375" customWidth="1"/>
    <col min="1030" max="1030" width="4.85546875" customWidth="1"/>
    <col min="1031" max="1031" width="14.7109375" customWidth="1"/>
    <col min="1032" max="1032" width="18.28515625" customWidth="1"/>
    <col min="1033" max="1033" width="15.5703125" customWidth="1"/>
    <col min="1034" max="1034" width="6.140625" customWidth="1"/>
    <col min="1035" max="1035" width="14.7109375" customWidth="1"/>
    <col min="1036" max="1036" width="16.140625" customWidth="1"/>
    <col min="1037" max="1037" width="14.7109375" customWidth="1"/>
    <col min="1038" max="1038" width="4.85546875" customWidth="1"/>
    <col min="1039" max="1039" width="18.5703125" customWidth="1"/>
    <col min="1281" max="1281" width="33.140625" customWidth="1"/>
    <col min="1282" max="1282" width="11" customWidth="1"/>
    <col min="1283" max="1283" width="16.85546875" customWidth="1"/>
    <col min="1284" max="1284" width="16.7109375" customWidth="1"/>
    <col min="1285" max="1285" width="14.7109375" customWidth="1"/>
    <col min="1286" max="1286" width="4.85546875" customWidth="1"/>
    <col min="1287" max="1287" width="14.7109375" customWidth="1"/>
    <col min="1288" max="1288" width="18.28515625" customWidth="1"/>
    <col min="1289" max="1289" width="15.5703125" customWidth="1"/>
    <col min="1290" max="1290" width="6.140625" customWidth="1"/>
    <col min="1291" max="1291" width="14.7109375" customWidth="1"/>
    <col min="1292" max="1292" width="16.140625" customWidth="1"/>
    <col min="1293" max="1293" width="14.7109375" customWidth="1"/>
    <col min="1294" max="1294" width="4.85546875" customWidth="1"/>
    <col min="1295" max="1295" width="18.5703125" customWidth="1"/>
    <col min="1537" max="1537" width="33.140625" customWidth="1"/>
    <col min="1538" max="1538" width="11" customWidth="1"/>
    <col min="1539" max="1539" width="16.85546875" customWidth="1"/>
    <col min="1540" max="1540" width="16.7109375" customWidth="1"/>
    <col min="1541" max="1541" width="14.7109375" customWidth="1"/>
    <col min="1542" max="1542" width="4.85546875" customWidth="1"/>
    <col min="1543" max="1543" width="14.7109375" customWidth="1"/>
    <col min="1544" max="1544" width="18.28515625" customWidth="1"/>
    <col min="1545" max="1545" width="15.5703125" customWidth="1"/>
    <col min="1546" max="1546" width="6.140625" customWidth="1"/>
    <col min="1547" max="1547" width="14.7109375" customWidth="1"/>
    <col min="1548" max="1548" width="16.140625" customWidth="1"/>
    <col min="1549" max="1549" width="14.7109375" customWidth="1"/>
    <col min="1550" max="1550" width="4.85546875" customWidth="1"/>
    <col min="1551" max="1551" width="18.5703125" customWidth="1"/>
    <col min="1793" max="1793" width="33.140625" customWidth="1"/>
    <col min="1794" max="1794" width="11" customWidth="1"/>
    <col min="1795" max="1795" width="16.85546875" customWidth="1"/>
    <col min="1796" max="1796" width="16.7109375" customWidth="1"/>
    <col min="1797" max="1797" width="14.7109375" customWidth="1"/>
    <col min="1798" max="1798" width="4.85546875" customWidth="1"/>
    <col min="1799" max="1799" width="14.7109375" customWidth="1"/>
    <col min="1800" max="1800" width="18.28515625" customWidth="1"/>
    <col min="1801" max="1801" width="15.5703125" customWidth="1"/>
    <col min="1802" max="1802" width="6.140625" customWidth="1"/>
    <col min="1803" max="1803" width="14.7109375" customWidth="1"/>
    <col min="1804" max="1804" width="16.140625" customWidth="1"/>
    <col min="1805" max="1805" width="14.7109375" customWidth="1"/>
    <col min="1806" max="1806" width="4.85546875" customWidth="1"/>
    <col min="1807" max="1807" width="18.5703125" customWidth="1"/>
    <col min="2049" max="2049" width="33.140625" customWidth="1"/>
    <col min="2050" max="2050" width="11" customWidth="1"/>
    <col min="2051" max="2051" width="16.85546875" customWidth="1"/>
    <col min="2052" max="2052" width="16.7109375" customWidth="1"/>
    <col min="2053" max="2053" width="14.7109375" customWidth="1"/>
    <col min="2054" max="2054" width="4.85546875" customWidth="1"/>
    <col min="2055" max="2055" width="14.7109375" customWidth="1"/>
    <col min="2056" max="2056" width="18.28515625" customWidth="1"/>
    <col min="2057" max="2057" width="15.5703125" customWidth="1"/>
    <col min="2058" max="2058" width="6.140625" customWidth="1"/>
    <col min="2059" max="2059" width="14.7109375" customWidth="1"/>
    <col min="2060" max="2060" width="16.140625" customWidth="1"/>
    <col min="2061" max="2061" width="14.7109375" customWidth="1"/>
    <col min="2062" max="2062" width="4.85546875" customWidth="1"/>
    <col min="2063" max="2063" width="18.5703125" customWidth="1"/>
    <col min="2305" max="2305" width="33.140625" customWidth="1"/>
    <col min="2306" max="2306" width="11" customWidth="1"/>
    <col min="2307" max="2307" width="16.85546875" customWidth="1"/>
    <col min="2308" max="2308" width="16.7109375" customWidth="1"/>
    <col min="2309" max="2309" width="14.7109375" customWidth="1"/>
    <col min="2310" max="2310" width="4.85546875" customWidth="1"/>
    <col min="2311" max="2311" width="14.7109375" customWidth="1"/>
    <col min="2312" max="2312" width="18.28515625" customWidth="1"/>
    <col min="2313" max="2313" width="15.5703125" customWidth="1"/>
    <col min="2314" max="2314" width="6.140625" customWidth="1"/>
    <col min="2315" max="2315" width="14.7109375" customWidth="1"/>
    <col min="2316" max="2316" width="16.140625" customWidth="1"/>
    <col min="2317" max="2317" width="14.7109375" customWidth="1"/>
    <col min="2318" max="2318" width="4.85546875" customWidth="1"/>
    <col min="2319" max="2319" width="18.5703125" customWidth="1"/>
    <col min="2561" max="2561" width="33.140625" customWidth="1"/>
    <col min="2562" max="2562" width="11" customWidth="1"/>
    <col min="2563" max="2563" width="16.85546875" customWidth="1"/>
    <col min="2564" max="2564" width="16.7109375" customWidth="1"/>
    <col min="2565" max="2565" width="14.7109375" customWidth="1"/>
    <col min="2566" max="2566" width="4.85546875" customWidth="1"/>
    <col min="2567" max="2567" width="14.7109375" customWidth="1"/>
    <col min="2568" max="2568" width="18.28515625" customWidth="1"/>
    <col min="2569" max="2569" width="15.5703125" customWidth="1"/>
    <col min="2570" max="2570" width="6.140625" customWidth="1"/>
    <col min="2571" max="2571" width="14.7109375" customWidth="1"/>
    <col min="2572" max="2572" width="16.140625" customWidth="1"/>
    <col min="2573" max="2573" width="14.7109375" customWidth="1"/>
    <col min="2574" max="2574" width="4.85546875" customWidth="1"/>
    <col min="2575" max="2575" width="18.5703125" customWidth="1"/>
    <col min="2817" max="2817" width="33.140625" customWidth="1"/>
    <col min="2818" max="2818" width="11" customWidth="1"/>
    <col min="2819" max="2819" width="16.85546875" customWidth="1"/>
    <col min="2820" max="2820" width="16.7109375" customWidth="1"/>
    <col min="2821" max="2821" width="14.7109375" customWidth="1"/>
    <col min="2822" max="2822" width="4.85546875" customWidth="1"/>
    <col min="2823" max="2823" width="14.7109375" customWidth="1"/>
    <col min="2824" max="2824" width="18.28515625" customWidth="1"/>
    <col min="2825" max="2825" width="15.5703125" customWidth="1"/>
    <col min="2826" max="2826" width="6.140625" customWidth="1"/>
    <col min="2827" max="2827" width="14.7109375" customWidth="1"/>
    <col min="2828" max="2828" width="16.140625" customWidth="1"/>
    <col min="2829" max="2829" width="14.7109375" customWidth="1"/>
    <col min="2830" max="2830" width="4.85546875" customWidth="1"/>
    <col min="2831" max="2831" width="18.5703125" customWidth="1"/>
    <col min="3073" max="3073" width="33.140625" customWidth="1"/>
    <col min="3074" max="3074" width="11" customWidth="1"/>
    <col min="3075" max="3075" width="16.85546875" customWidth="1"/>
    <col min="3076" max="3076" width="16.7109375" customWidth="1"/>
    <col min="3077" max="3077" width="14.7109375" customWidth="1"/>
    <col min="3078" max="3078" width="4.85546875" customWidth="1"/>
    <col min="3079" max="3079" width="14.7109375" customWidth="1"/>
    <col min="3080" max="3080" width="18.28515625" customWidth="1"/>
    <col min="3081" max="3081" width="15.5703125" customWidth="1"/>
    <col min="3082" max="3082" width="6.140625" customWidth="1"/>
    <col min="3083" max="3083" width="14.7109375" customWidth="1"/>
    <col min="3084" max="3084" width="16.140625" customWidth="1"/>
    <col min="3085" max="3085" width="14.7109375" customWidth="1"/>
    <col min="3086" max="3086" width="4.85546875" customWidth="1"/>
    <col min="3087" max="3087" width="18.5703125" customWidth="1"/>
    <col min="3329" max="3329" width="33.140625" customWidth="1"/>
    <col min="3330" max="3330" width="11" customWidth="1"/>
    <col min="3331" max="3331" width="16.85546875" customWidth="1"/>
    <col min="3332" max="3332" width="16.7109375" customWidth="1"/>
    <col min="3333" max="3333" width="14.7109375" customWidth="1"/>
    <col min="3334" max="3334" width="4.85546875" customWidth="1"/>
    <col min="3335" max="3335" width="14.7109375" customWidth="1"/>
    <col min="3336" max="3336" width="18.28515625" customWidth="1"/>
    <col min="3337" max="3337" width="15.5703125" customWidth="1"/>
    <col min="3338" max="3338" width="6.140625" customWidth="1"/>
    <col min="3339" max="3339" width="14.7109375" customWidth="1"/>
    <col min="3340" max="3340" width="16.140625" customWidth="1"/>
    <col min="3341" max="3341" width="14.7109375" customWidth="1"/>
    <col min="3342" max="3342" width="4.85546875" customWidth="1"/>
    <col min="3343" max="3343" width="18.5703125" customWidth="1"/>
    <col min="3585" max="3585" width="33.140625" customWidth="1"/>
    <col min="3586" max="3586" width="11" customWidth="1"/>
    <col min="3587" max="3587" width="16.85546875" customWidth="1"/>
    <col min="3588" max="3588" width="16.7109375" customWidth="1"/>
    <col min="3589" max="3589" width="14.7109375" customWidth="1"/>
    <col min="3590" max="3590" width="4.85546875" customWidth="1"/>
    <col min="3591" max="3591" width="14.7109375" customWidth="1"/>
    <col min="3592" max="3592" width="18.28515625" customWidth="1"/>
    <col min="3593" max="3593" width="15.5703125" customWidth="1"/>
    <col min="3594" max="3594" width="6.140625" customWidth="1"/>
    <col min="3595" max="3595" width="14.7109375" customWidth="1"/>
    <col min="3596" max="3596" width="16.140625" customWidth="1"/>
    <col min="3597" max="3597" width="14.7109375" customWidth="1"/>
    <col min="3598" max="3598" width="4.85546875" customWidth="1"/>
    <col min="3599" max="3599" width="18.5703125" customWidth="1"/>
    <col min="3841" max="3841" width="33.140625" customWidth="1"/>
    <col min="3842" max="3842" width="11" customWidth="1"/>
    <col min="3843" max="3843" width="16.85546875" customWidth="1"/>
    <col min="3844" max="3844" width="16.7109375" customWidth="1"/>
    <col min="3845" max="3845" width="14.7109375" customWidth="1"/>
    <col min="3846" max="3846" width="4.85546875" customWidth="1"/>
    <col min="3847" max="3847" width="14.7109375" customWidth="1"/>
    <col min="3848" max="3848" width="18.28515625" customWidth="1"/>
    <col min="3849" max="3849" width="15.5703125" customWidth="1"/>
    <col min="3850" max="3850" width="6.140625" customWidth="1"/>
    <col min="3851" max="3851" width="14.7109375" customWidth="1"/>
    <col min="3852" max="3852" width="16.140625" customWidth="1"/>
    <col min="3853" max="3853" width="14.7109375" customWidth="1"/>
    <col min="3854" max="3854" width="4.85546875" customWidth="1"/>
    <col min="3855" max="3855" width="18.5703125" customWidth="1"/>
    <col min="4097" max="4097" width="33.140625" customWidth="1"/>
    <col min="4098" max="4098" width="11" customWidth="1"/>
    <col min="4099" max="4099" width="16.85546875" customWidth="1"/>
    <col min="4100" max="4100" width="16.7109375" customWidth="1"/>
    <col min="4101" max="4101" width="14.7109375" customWidth="1"/>
    <col min="4102" max="4102" width="4.85546875" customWidth="1"/>
    <col min="4103" max="4103" width="14.7109375" customWidth="1"/>
    <col min="4104" max="4104" width="18.28515625" customWidth="1"/>
    <col min="4105" max="4105" width="15.5703125" customWidth="1"/>
    <col min="4106" max="4106" width="6.140625" customWidth="1"/>
    <col min="4107" max="4107" width="14.7109375" customWidth="1"/>
    <col min="4108" max="4108" width="16.140625" customWidth="1"/>
    <col min="4109" max="4109" width="14.7109375" customWidth="1"/>
    <col min="4110" max="4110" width="4.85546875" customWidth="1"/>
    <col min="4111" max="4111" width="18.5703125" customWidth="1"/>
    <col min="4353" max="4353" width="33.140625" customWidth="1"/>
    <col min="4354" max="4354" width="11" customWidth="1"/>
    <col min="4355" max="4355" width="16.85546875" customWidth="1"/>
    <col min="4356" max="4356" width="16.7109375" customWidth="1"/>
    <col min="4357" max="4357" width="14.7109375" customWidth="1"/>
    <col min="4358" max="4358" width="4.85546875" customWidth="1"/>
    <col min="4359" max="4359" width="14.7109375" customWidth="1"/>
    <col min="4360" max="4360" width="18.28515625" customWidth="1"/>
    <col min="4361" max="4361" width="15.5703125" customWidth="1"/>
    <col min="4362" max="4362" width="6.140625" customWidth="1"/>
    <col min="4363" max="4363" width="14.7109375" customWidth="1"/>
    <col min="4364" max="4364" width="16.140625" customWidth="1"/>
    <col min="4365" max="4365" width="14.7109375" customWidth="1"/>
    <col min="4366" max="4366" width="4.85546875" customWidth="1"/>
    <col min="4367" max="4367" width="18.5703125" customWidth="1"/>
    <col min="4609" max="4609" width="33.140625" customWidth="1"/>
    <col min="4610" max="4610" width="11" customWidth="1"/>
    <col min="4611" max="4611" width="16.85546875" customWidth="1"/>
    <col min="4612" max="4612" width="16.7109375" customWidth="1"/>
    <col min="4613" max="4613" width="14.7109375" customWidth="1"/>
    <col min="4614" max="4614" width="4.85546875" customWidth="1"/>
    <col min="4615" max="4615" width="14.7109375" customWidth="1"/>
    <col min="4616" max="4616" width="18.28515625" customWidth="1"/>
    <col min="4617" max="4617" width="15.5703125" customWidth="1"/>
    <col min="4618" max="4618" width="6.140625" customWidth="1"/>
    <col min="4619" max="4619" width="14.7109375" customWidth="1"/>
    <col min="4620" max="4620" width="16.140625" customWidth="1"/>
    <col min="4621" max="4621" width="14.7109375" customWidth="1"/>
    <col min="4622" max="4622" width="4.85546875" customWidth="1"/>
    <col min="4623" max="4623" width="18.5703125" customWidth="1"/>
    <col min="4865" max="4865" width="33.140625" customWidth="1"/>
    <col min="4866" max="4866" width="11" customWidth="1"/>
    <col min="4867" max="4867" width="16.85546875" customWidth="1"/>
    <col min="4868" max="4868" width="16.7109375" customWidth="1"/>
    <col min="4869" max="4869" width="14.7109375" customWidth="1"/>
    <col min="4870" max="4870" width="4.85546875" customWidth="1"/>
    <col min="4871" max="4871" width="14.7109375" customWidth="1"/>
    <col min="4872" max="4872" width="18.28515625" customWidth="1"/>
    <col min="4873" max="4873" width="15.5703125" customWidth="1"/>
    <col min="4874" max="4874" width="6.140625" customWidth="1"/>
    <col min="4875" max="4875" width="14.7109375" customWidth="1"/>
    <col min="4876" max="4876" width="16.140625" customWidth="1"/>
    <col min="4877" max="4877" width="14.7109375" customWidth="1"/>
    <col min="4878" max="4878" width="4.85546875" customWidth="1"/>
    <col min="4879" max="4879" width="18.5703125" customWidth="1"/>
    <col min="5121" max="5121" width="33.140625" customWidth="1"/>
    <col min="5122" max="5122" width="11" customWidth="1"/>
    <col min="5123" max="5123" width="16.85546875" customWidth="1"/>
    <col min="5124" max="5124" width="16.7109375" customWidth="1"/>
    <col min="5125" max="5125" width="14.7109375" customWidth="1"/>
    <col min="5126" max="5126" width="4.85546875" customWidth="1"/>
    <col min="5127" max="5127" width="14.7109375" customWidth="1"/>
    <col min="5128" max="5128" width="18.28515625" customWidth="1"/>
    <col min="5129" max="5129" width="15.5703125" customWidth="1"/>
    <col min="5130" max="5130" width="6.140625" customWidth="1"/>
    <col min="5131" max="5131" width="14.7109375" customWidth="1"/>
    <col min="5132" max="5132" width="16.140625" customWidth="1"/>
    <col min="5133" max="5133" width="14.7109375" customWidth="1"/>
    <col min="5134" max="5134" width="4.85546875" customWidth="1"/>
    <col min="5135" max="5135" width="18.5703125" customWidth="1"/>
    <col min="5377" max="5377" width="33.140625" customWidth="1"/>
    <col min="5378" max="5378" width="11" customWidth="1"/>
    <col min="5379" max="5379" width="16.85546875" customWidth="1"/>
    <col min="5380" max="5380" width="16.7109375" customWidth="1"/>
    <col min="5381" max="5381" width="14.7109375" customWidth="1"/>
    <col min="5382" max="5382" width="4.85546875" customWidth="1"/>
    <col min="5383" max="5383" width="14.7109375" customWidth="1"/>
    <col min="5384" max="5384" width="18.28515625" customWidth="1"/>
    <col min="5385" max="5385" width="15.5703125" customWidth="1"/>
    <col min="5386" max="5386" width="6.140625" customWidth="1"/>
    <col min="5387" max="5387" width="14.7109375" customWidth="1"/>
    <col min="5388" max="5388" width="16.140625" customWidth="1"/>
    <col min="5389" max="5389" width="14.7109375" customWidth="1"/>
    <col min="5390" max="5390" width="4.85546875" customWidth="1"/>
    <col min="5391" max="5391" width="18.5703125" customWidth="1"/>
    <col min="5633" max="5633" width="33.140625" customWidth="1"/>
    <col min="5634" max="5634" width="11" customWidth="1"/>
    <col min="5635" max="5635" width="16.85546875" customWidth="1"/>
    <col min="5636" max="5636" width="16.7109375" customWidth="1"/>
    <col min="5637" max="5637" width="14.7109375" customWidth="1"/>
    <col min="5638" max="5638" width="4.85546875" customWidth="1"/>
    <col min="5639" max="5639" width="14.7109375" customWidth="1"/>
    <col min="5640" max="5640" width="18.28515625" customWidth="1"/>
    <col min="5641" max="5641" width="15.5703125" customWidth="1"/>
    <col min="5642" max="5642" width="6.140625" customWidth="1"/>
    <col min="5643" max="5643" width="14.7109375" customWidth="1"/>
    <col min="5644" max="5644" width="16.140625" customWidth="1"/>
    <col min="5645" max="5645" width="14.7109375" customWidth="1"/>
    <col min="5646" max="5646" width="4.85546875" customWidth="1"/>
    <col min="5647" max="5647" width="18.5703125" customWidth="1"/>
    <col min="5889" max="5889" width="33.140625" customWidth="1"/>
    <col min="5890" max="5890" width="11" customWidth="1"/>
    <col min="5891" max="5891" width="16.85546875" customWidth="1"/>
    <col min="5892" max="5892" width="16.7109375" customWidth="1"/>
    <col min="5893" max="5893" width="14.7109375" customWidth="1"/>
    <col min="5894" max="5894" width="4.85546875" customWidth="1"/>
    <col min="5895" max="5895" width="14.7109375" customWidth="1"/>
    <col min="5896" max="5896" width="18.28515625" customWidth="1"/>
    <col min="5897" max="5897" width="15.5703125" customWidth="1"/>
    <col min="5898" max="5898" width="6.140625" customWidth="1"/>
    <col min="5899" max="5899" width="14.7109375" customWidth="1"/>
    <col min="5900" max="5900" width="16.140625" customWidth="1"/>
    <col min="5901" max="5901" width="14.7109375" customWidth="1"/>
    <col min="5902" max="5902" width="4.85546875" customWidth="1"/>
    <col min="5903" max="5903" width="18.5703125" customWidth="1"/>
    <col min="6145" max="6145" width="33.140625" customWidth="1"/>
    <col min="6146" max="6146" width="11" customWidth="1"/>
    <col min="6147" max="6147" width="16.85546875" customWidth="1"/>
    <col min="6148" max="6148" width="16.7109375" customWidth="1"/>
    <col min="6149" max="6149" width="14.7109375" customWidth="1"/>
    <col min="6150" max="6150" width="4.85546875" customWidth="1"/>
    <col min="6151" max="6151" width="14.7109375" customWidth="1"/>
    <col min="6152" max="6152" width="18.28515625" customWidth="1"/>
    <col min="6153" max="6153" width="15.5703125" customWidth="1"/>
    <col min="6154" max="6154" width="6.140625" customWidth="1"/>
    <col min="6155" max="6155" width="14.7109375" customWidth="1"/>
    <col min="6156" max="6156" width="16.140625" customWidth="1"/>
    <col min="6157" max="6157" width="14.7109375" customWidth="1"/>
    <col min="6158" max="6158" width="4.85546875" customWidth="1"/>
    <col min="6159" max="6159" width="18.5703125" customWidth="1"/>
    <col min="6401" max="6401" width="33.140625" customWidth="1"/>
    <col min="6402" max="6402" width="11" customWidth="1"/>
    <col min="6403" max="6403" width="16.85546875" customWidth="1"/>
    <col min="6404" max="6404" width="16.7109375" customWidth="1"/>
    <col min="6405" max="6405" width="14.7109375" customWidth="1"/>
    <col min="6406" max="6406" width="4.85546875" customWidth="1"/>
    <col min="6407" max="6407" width="14.7109375" customWidth="1"/>
    <col min="6408" max="6408" width="18.28515625" customWidth="1"/>
    <col min="6409" max="6409" width="15.5703125" customWidth="1"/>
    <col min="6410" max="6410" width="6.140625" customWidth="1"/>
    <col min="6411" max="6411" width="14.7109375" customWidth="1"/>
    <col min="6412" max="6412" width="16.140625" customWidth="1"/>
    <col min="6413" max="6413" width="14.7109375" customWidth="1"/>
    <col min="6414" max="6414" width="4.85546875" customWidth="1"/>
    <col min="6415" max="6415" width="18.5703125" customWidth="1"/>
    <col min="6657" max="6657" width="33.140625" customWidth="1"/>
    <col min="6658" max="6658" width="11" customWidth="1"/>
    <col min="6659" max="6659" width="16.85546875" customWidth="1"/>
    <col min="6660" max="6660" width="16.7109375" customWidth="1"/>
    <col min="6661" max="6661" width="14.7109375" customWidth="1"/>
    <col min="6662" max="6662" width="4.85546875" customWidth="1"/>
    <col min="6663" max="6663" width="14.7109375" customWidth="1"/>
    <col min="6664" max="6664" width="18.28515625" customWidth="1"/>
    <col min="6665" max="6665" width="15.5703125" customWidth="1"/>
    <col min="6666" max="6666" width="6.140625" customWidth="1"/>
    <col min="6667" max="6667" width="14.7109375" customWidth="1"/>
    <col min="6668" max="6668" width="16.140625" customWidth="1"/>
    <col min="6669" max="6669" width="14.7109375" customWidth="1"/>
    <col min="6670" max="6670" width="4.85546875" customWidth="1"/>
    <col min="6671" max="6671" width="18.5703125" customWidth="1"/>
    <col min="6913" max="6913" width="33.140625" customWidth="1"/>
    <col min="6914" max="6914" width="11" customWidth="1"/>
    <col min="6915" max="6915" width="16.85546875" customWidth="1"/>
    <col min="6916" max="6916" width="16.7109375" customWidth="1"/>
    <col min="6917" max="6917" width="14.7109375" customWidth="1"/>
    <col min="6918" max="6918" width="4.85546875" customWidth="1"/>
    <col min="6919" max="6919" width="14.7109375" customWidth="1"/>
    <col min="6920" max="6920" width="18.28515625" customWidth="1"/>
    <col min="6921" max="6921" width="15.5703125" customWidth="1"/>
    <col min="6922" max="6922" width="6.140625" customWidth="1"/>
    <col min="6923" max="6923" width="14.7109375" customWidth="1"/>
    <col min="6924" max="6924" width="16.140625" customWidth="1"/>
    <col min="6925" max="6925" width="14.7109375" customWidth="1"/>
    <col min="6926" max="6926" width="4.85546875" customWidth="1"/>
    <col min="6927" max="6927" width="18.5703125" customWidth="1"/>
    <col min="7169" max="7169" width="33.140625" customWidth="1"/>
    <col min="7170" max="7170" width="11" customWidth="1"/>
    <col min="7171" max="7171" width="16.85546875" customWidth="1"/>
    <col min="7172" max="7172" width="16.7109375" customWidth="1"/>
    <col min="7173" max="7173" width="14.7109375" customWidth="1"/>
    <col min="7174" max="7174" width="4.85546875" customWidth="1"/>
    <col min="7175" max="7175" width="14.7109375" customWidth="1"/>
    <col min="7176" max="7176" width="18.28515625" customWidth="1"/>
    <col min="7177" max="7177" width="15.5703125" customWidth="1"/>
    <col min="7178" max="7178" width="6.140625" customWidth="1"/>
    <col min="7179" max="7179" width="14.7109375" customWidth="1"/>
    <col min="7180" max="7180" width="16.140625" customWidth="1"/>
    <col min="7181" max="7181" width="14.7109375" customWidth="1"/>
    <col min="7182" max="7182" width="4.85546875" customWidth="1"/>
    <col min="7183" max="7183" width="18.5703125" customWidth="1"/>
    <col min="7425" max="7425" width="33.140625" customWidth="1"/>
    <col min="7426" max="7426" width="11" customWidth="1"/>
    <col min="7427" max="7427" width="16.85546875" customWidth="1"/>
    <col min="7428" max="7428" width="16.7109375" customWidth="1"/>
    <col min="7429" max="7429" width="14.7109375" customWidth="1"/>
    <col min="7430" max="7430" width="4.85546875" customWidth="1"/>
    <col min="7431" max="7431" width="14.7109375" customWidth="1"/>
    <col min="7432" max="7432" width="18.28515625" customWidth="1"/>
    <col min="7433" max="7433" width="15.5703125" customWidth="1"/>
    <col min="7434" max="7434" width="6.140625" customWidth="1"/>
    <col min="7435" max="7435" width="14.7109375" customWidth="1"/>
    <col min="7436" max="7436" width="16.140625" customWidth="1"/>
    <col min="7437" max="7437" width="14.7109375" customWidth="1"/>
    <col min="7438" max="7438" width="4.85546875" customWidth="1"/>
    <col min="7439" max="7439" width="18.5703125" customWidth="1"/>
    <col min="7681" max="7681" width="33.140625" customWidth="1"/>
    <col min="7682" max="7682" width="11" customWidth="1"/>
    <col min="7683" max="7683" width="16.85546875" customWidth="1"/>
    <col min="7684" max="7684" width="16.7109375" customWidth="1"/>
    <col min="7685" max="7685" width="14.7109375" customWidth="1"/>
    <col min="7686" max="7686" width="4.85546875" customWidth="1"/>
    <col min="7687" max="7687" width="14.7109375" customWidth="1"/>
    <col min="7688" max="7688" width="18.28515625" customWidth="1"/>
    <col min="7689" max="7689" width="15.5703125" customWidth="1"/>
    <col min="7690" max="7690" width="6.140625" customWidth="1"/>
    <col min="7691" max="7691" width="14.7109375" customWidth="1"/>
    <col min="7692" max="7692" width="16.140625" customWidth="1"/>
    <col min="7693" max="7693" width="14.7109375" customWidth="1"/>
    <col min="7694" max="7694" width="4.85546875" customWidth="1"/>
    <col min="7695" max="7695" width="18.5703125" customWidth="1"/>
    <col min="7937" max="7937" width="33.140625" customWidth="1"/>
    <col min="7938" max="7938" width="11" customWidth="1"/>
    <col min="7939" max="7939" width="16.85546875" customWidth="1"/>
    <col min="7940" max="7940" width="16.7109375" customWidth="1"/>
    <col min="7941" max="7941" width="14.7109375" customWidth="1"/>
    <col min="7942" max="7942" width="4.85546875" customWidth="1"/>
    <col min="7943" max="7943" width="14.7109375" customWidth="1"/>
    <col min="7944" max="7944" width="18.28515625" customWidth="1"/>
    <col min="7945" max="7945" width="15.5703125" customWidth="1"/>
    <col min="7946" max="7946" width="6.140625" customWidth="1"/>
    <col min="7947" max="7947" width="14.7109375" customWidth="1"/>
    <col min="7948" max="7948" width="16.140625" customWidth="1"/>
    <col min="7949" max="7949" width="14.7109375" customWidth="1"/>
    <col min="7950" max="7950" width="4.85546875" customWidth="1"/>
    <col min="7951" max="7951" width="18.5703125" customWidth="1"/>
    <col min="8193" max="8193" width="33.140625" customWidth="1"/>
    <col min="8194" max="8194" width="11" customWidth="1"/>
    <col min="8195" max="8195" width="16.85546875" customWidth="1"/>
    <col min="8196" max="8196" width="16.7109375" customWidth="1"/>
    <col min="8197" max="8197" width="14.7109375" customWidth="1"/>
    <col min="8198" max="8198" width="4.85546875" customWidth="1"/>
    <col min="8199" max="8199" width="14.7109375" customWidth="1"/>
    <col min="8200" max="8200" width="18.28515625" customWidth="1"/>
    <col min="8201" max="8201" width="15.5703125" customWidth="1"/>
    <col min="8202" max="8202" width="6.140625" customWidth="1"/>
    <col min="8203" max="8203" width="14.7109375" customWidth="1"/>
    <col min="8204" max="8204" width="16.140625" customWidth="1"/>
    <col min="8205" max="8205" width="14.7109375" customWidth="1"/>
    <col min="8206" max="8206" width="4.85546875" customWidth="1"/>
    <col min="8207" max="8207" width="18.5703125" customWidth="1"/>
    <col min="8449" max="8449" width="33.140625" customWidth="1"/>
    <col min="8450" max="8450" width="11" customWidth="1"/>
    <col min="8451" max="8451" width="16.85546875" customWidth="1"/>
    <col min="8452" max="8452" width="16.7109375" customWidth="1"/>
    <col min="8453" max="8453" width="14.7109375" customWidth="1"/>
    <col min="8454" max="8454" width="4.85546875" customWidth="1"/>
    <col min="8455" max="8455" width="14.7109375" customWidth="1"/>
    <col min="8456" max="8456" width="18.28515625" customWidth="1"/>
    <col min="8457" max="8457" width="15.5703125" customWidth="1"/>
    <col min="8458" max="8458" width="6.140625" customWidth="1"/>
    <col min="8459" max="8459" width="14.7109375" customWidth="1"/>
    <col min="8460" max="8460" width="16.140625" customWidth="1"/>
    <col min="8461" max="8461" width="14.7109375" customWidth="1"/>
    <col min="8462" max="8462" width="4.85546875" customWidth="1"/>
    <col min="8463" max="8463" width="18.5703125" customWidth="1"/>
    <col min="8705" max="8705" width="33.140625" customWidth="1"/>
    <col min="8706" max="8706" width="11" customWidth="1"/>
    <col min="8707" max="8707" width="16.85546875" customWidth="1"/>
    <col min="8708" max="8708" width="16.7109375" customWidth="1"/>
    <col min="8709" max="8709" width="14.7109375" customWidth="1"/>
    <col min="8710" max="8710" width="4.85546875" customWidth="1"/>
    <col min="8711" max="8711" width="14.7109375" customWidth="1"/>
    <col min="8712" max="8712" width="18.28515625" customWidth="1"/>
    <col min="8713" max="8713" width="15.5703125" customWidth="1"/>
    <col min="8714" max="8714" width="6.140625" customWidth="1"/>
    <col min="8715" max="8715" width="14.7109375" customWidth="1"/>
    <col min="8716" max="8716" width="16.140625" customWidth="1"/>
    <col min="8717" max="8717" width="14.7109375" customWidth="1"/>
    <col min="8718" max="8718" width="4.85546875" customWidth="1"/>
    <col min="8719" max="8719" width="18.5703125" customWidth="1"/>
    <col min="8961" max="8961" width="33.140625" customWidth="1"/>
    <col min="8962" max="8962" width="11" customWidth="1"/>
    <col min="8963" max="8963" width="16.85546875" customWidth="1"/>
    <col min="8964" max="8964" width="16.7109375" customWidth="1"/>
    <col min="8965" max="8965" width="14.7109375" customWidth="1"/>
    <col min="8966" max="8966" width="4.85546875" customWidth="1"/>
    <col min="8967" max="8967" width="14.7109375" customWidth="1"/>
    <col min="8968" max="8968" width="18.28515625" customWidth="1"/>
    <col min="8969" max="8969" width="15.5703125" customWidth="1"/>
    <col min="8970" max="8970" width="6.140625" customWidth="1"/>
    <col min="8971" max="8971" width="14.7109375" customWidth="1"/>
    <col min="8972" max="8972" width="16.140625" customWidth="1"/>
    <col min="8973" max="8973" width="14.7109375" customWidth="1"/>
    <col min="8974" max="8974" width="4.85546875" customWidth="1"/>
    <col min="8975" max="8975" width="18.5703125" customWidth="1"/>
    <col min="9217" max="9217" width="33.140625" customWidth="1"/>
    <col min="9218" max="9218" width="11" customWidth="1"/>
    <col min="9219" max="9219" width="16.85546875" customWidth="1"/>
    <col min="9220" max="9220" width="16.7109375" customWidth="1"/>
    <col min="9221" max="9221" width="14.7109375" customWidth="1"/>
    <col min="9222" max="9222" width="4.85546875" customWidth="1"/>
    <col min="9223" max="9223" width="14.7109375" customWidth="1"/>
    <col min="9224" max="9224" width="18.28515625" customWidth="1"/>
    <col min="9225" max="9225" width="15.5703125" customWidth="1"/>
    <col min="9226" max="9226" width="6.140625" customWidth="1"/>
    <col min="9227" max="9227" width="14.7109375" customWidth="1"/>
    <col min="9228" max="9228" width="16.140625" customWidth="1"/>
    <col min="9229" max="9229" width="14.7109375" customWidth="1"/>
    <col min="9230" max="9230" width="4.85546875" customWidth="1"/>
    <col min="9231" max="9231" width="18.5703125" customWidth="1"/>
    <col min="9473" max="9473" width="33.140625" customWidth="1"/>
    <col min="9474" max="9474" width="11" customWidth="1"/>
    <col min="9475" max="9475" width="16.85546875" customWidth="1"/>
    <col min="9476" max="9476" width="16.7109375" customWidth="1"/>
    <col min="9477" max="9477" width="14.7109375" customWidth="1"/>
    <col min="9478" max="9478" width="4.85546875" customWidth="1"/>
    <col min="9479" max="9479" width="14.7109375" customWidth="1"/>
    <col min="9480" max="9480" width="18.28515625" customWidth="1"/>
    <col min="9481" max="9481" width="15.5703125" customWidth="1"/>
    <col min="9482" max="9482" width="6.140625" customWidth="1"/>
    <col min="9483" max="9483" width="14.7109375" customWidth="1"/>
    <col min="9484" max="9484" width="16.140625" customWidth="1"/>
    <col min="9485" max="9485" width="14.7109375" customWidth="1"/>
    <col min="9486" max="9486" width="4.85546875" customWidth="1"/>
    <col min="9487" max="9487" width="18.5703125" customWidth="1"/>
    <col min="9729" max="9729" width="33.140625" customWidth="1"/>
    <col min="9730" max="9730" width="11" customWidth="1"/>
    <col min="9731" max="9731" width="16.85546875" customWidth="1"/>
    <col min="9732" max="9732" width="16.7109375" customWidth="1"/>
    <col min="9733" max="9733" width="14.7109375" customWidth="1"/>
    <col min="9734" max="9734" width="4.85546875" customWidth="1"/>
    <col min="9735" max="9735" width="14.7109375" customWidth="1"/>
    <col min="9736" max="9736" width="18.28515625" customWidth="1"/>
    <col min="9737" max="9737" width="15.5703125" customWidth="1"/>
    <col min="9738" max="9738" width="6.140625" customWidth="1"/>
    <col min="9739" max="9739" width="14.7109375" customWidth="1"/>
    <col min="9740" max="9740" width="16.140625" customWidth="1"/>
    <col min="9741" max="9741" width="14.7109375" customWidth="1"/>
    <col min="9742" max="9742" width="4.85546875" customWidth="1"/>
    <col min="9743" max="9743" width="18.5703125" customWidth="1"/>
    <col min="9985" max="9985" width="33.140625" customWidth="1"/>
    <col min="9986" max="9986" width="11" customWidth="1"/>
    <col min="9987" max="9987" width="16.85546875" customWidth="1"/>
    <col min="9988" max="9988" width="16.7109375" customWidth="1"/>
    <col min="9989" max="9989" width="14.7109375" customWidth="1"/>
    <col min="9990" max="9990" width="4.85546875" customWidth="1"/>
    <col min="9991" max="9991" width="14.7109375" customWidth="1"/>
    <col min="9992" max="9992" width="18.28515625" customWidth="1"/>
    <col min="9993" max="9993" width="15.5703125" customWidth="1"/>
    <col min="9994" max="9994" width="6.140625" customWidth="1"/>
    <col min="9995" max="9995" width="14.7109375" customWidth="1"/>
    <col min="9996" max="9996" width="16.140625" customWidth="1"/>
    <col min="9997" max="9997" width="14.7109375" customWidth="1"/>
    <col min="9998" max="9998" width="4.85546875" customWidth="1"/>
    <col min="9999" max="9999" width="18.5703125" customWidth="1"/>
    <col min="10241" max="10241" width="33.140625" customWidth="1"/>
    <col min="10242" max="10242" width="11" customWidth="1"/>
    <col min="10243" max="10243" width="16.85546875" customWidth="1"/>
    <col min="10244" max="10244" width="16.7109375" customWidth="1"/>
    <col min="10245" max="10245" width="14.7109375" customWidth="1"/>
    <col min="10246" max="10246" width="4.85546875" customWidth="1"/>
    <col min="10247" max="10247" width="14.7109375" customWidth="1"/>
    <col min="10248" max="10248" width="18.28515625" customWidth="1"/>
    <col min="10249" max="10249" width="15.5703125" customWidth="1"/>
    <col min="10250" max="10250" width="6.140625" customWidth="1"/>
    <col min="10251" max="10251" width="14.7109375" customWidth="1"/>
    <col min="10252" max="10252" width="16.140625" customWidth="1"/>
    <col min="10253" max="10253" width="14.7109375" customWidth="1"/>
    <col min="10254" max="10254" width="4.85546875" customWidth="1"/>
    <col min="10255" max="10255" width="18.5703125" customWidth="1"/>
    <col min="10497" max="10497" width="33.140625" customWidth="1"/>
    <col min="10498" max="10498" width="11" customWidth="1"/>
    <col min="10499" max="10499" width="16.85546875" customWidth="1"/>
    <col min="10500" max="10500" width="16.7109375" customWidth="1"/>
    <col min="10501" max="10501" width="14.7109375" customWidth="1"/>
    <col min="10502" max="10502" width="4.85546875" customWidth="1"/>
    <col min="10503" max="10503" width="14.7109375" customWidth="1"/>
    <col min="10504" max="10504" width="18.28515625" customWidth="1"/>
    <col min="10505" max="10505" width="15.5703125" customWidth="1"/>
    <col min="10506" max="10506" width="6.140625" customWidth="1"/>
    <col min="10507" max="10507" width="14.7109375" customWidth="1"/>
    <col min="10508" max="10508" width="16.140625" customWidth="1"/>
    <col min="10509" max="10509" width="14.7109375" customWidth="1"/>
    <col min="10510" max="10510" width="4.85546875" customWidth="1"/>
    <col min="10511" max="10511" width="18.5703125" customWidth="1"/>
    <col min="10753" max="10753" width="33.140625" customWidth="1"/>
    <col min="10754" max="10754" width="11" customWidth="1"/>
    <col min="10755" max="10755" width="16.85546875" customWidth="1"/>
    <col min="10756" max="10756" width="16.7109375" customWidth="1"/>
    <col min="10757" max="10757" width="14.7109375" customWidth="1"/>
    <col min="10758" max="10758" width="4.85546875" customWidth="1"/>
    <col min="10759" max="10759" width="14.7109375" customWidth="1"/>
    <col min="10760" max="10760" width="18.28515625" customWidth="1"/>
    <col min="10761" max="10761" width="15.5703125" customWidth="1"/>
    <col min="10762" max="10762" width="6.140625" customWidth="1"/>
    <col min="10763" max="10763" width="14.7109375" customWidth="1"/>
    <col min="10764" max="10764" width="16.140625" customWidth="1"/>
    <col min="10765" max="10765" width="14.7109375" customWidth="1"/>
    <col min="10766" max="10766" width="4.85546875" customWidth="1"/>
    <col min="10767" max="10767" width="18.5703125" customWidth="1"/>
    <col min="11009" max="11009" width="33.140625" customWidth="1"/>
    <col min="11010" max="11010" width="11" customWidth="1"/>
    <col min="11011" max="11011" width="16.85546875" customWidth="1"/>
    <col min="11012" max="11012" width="16.7109375" customWidth="1"/>
    <col min="11013" max="11013" width="14.7109375" customWidth="1"/>
    <col min="11014" max="11014" width="4.85546875" customWidth="1"/>
    <col min="11015" max="11015" width="14.7109375" customWidth="1"/>
    <col min="11016" max="11016" width="18.28515625" customWidth="1"/>
    <col min="11017" max="11017" width="15.5703125" customWidth="1"/>
    <col min="11018" max="11018" width="6.140625" customWidth="1"/>
    <col min="11019" max="11019" width="14.7109375" customWidth="1"/>
    <col min="11020" max="11020" width="16.140625" customWidth="1"/>
    <col min="11021" max="11021" width="14.7109375" customWidth="1"/>
    <col min="11022" max="11022" width="4.85546875" customWidth="1"/>
    <col min="11023" max="11023" width="18.5703125" customWidth="1"/>
    <col min="11265" max="11265" width="33.140625" customWidth="1"/>
    <col min="11266" max="11266" width="11" customWidth="1"/>
    <col min="11267" max="11267" width="16.85546875" customWidth="1"/>
    <col min="11268" max="11268" width="16.7109375" customWidth="1"/>
    <col min="11269" max="11269" width="14.7109375" customWidth="1"/>
    <col min="11270" max="11270" width="4.85546875" customWidth="1"/>
    <col min="11271" max="11271" width="14.7109375" customWidth="1"/>
    <col min="11272" max="11272" width="18.28515625" customWidth="1"/>
    <col min="11273" max="11273" width="15.5703125" customWidth="1"/>
    <col min="11274" max="11274" width="6.140625" customWidth="1"/>
    <col min="11275" max="11275" width="14.7109375" customWidth="1"/>
    <col min="11276" max="11276" width="16.140625" customWidth="1"/>
    <col min="11277" max="11277" width="14.7109375" customWidth="1"/>
    <col min="11278" max="11278" width="4.85546875" customWidth="1"/>
    <col min="11279" max="11279" width="18.5703125" customWidth="1"/>
    <col min="11521" max="11521" width="33.140625" customWidth="1"/>
    <col min="11522" max="11522" width="11" customWidth="1"/>
    <col min="11523" max="11523" width="16.85546875" customWidth="1"/>
    <col min="11524" max="11524" width="16.7109375" customWidth="1"/>
    <col min="11525" max="11525" width="14.7109375" customWidth="1"/>
    <col min="11526" max="11526" width="4.85546875" customWidth="1"/>
    <col min="11527" max="11527" width="14.7109375" customWidth="1"/>
    <col min="11528" max="11528" width="18.28515625" customWidth="1"/>
    <col min="11529" max="11529" width="15.5703125" customWidth="1"/>
    <col min="11530" max="11530" width="6.140625" customWidth="1"/>
    <col min="11531" max="11531" width="14.7109375" customWidth="1"/>
    <col min="11532" max="11532" width="16.140625" customWidth="1"/>
    <col min="11533" max="11533" width="14.7109375" customWidth="1"/>
    <col min="11534" max="11534" width="4.85546875" customWidth="1"/>
    <col min="11535" max="11535" width="18.5703125" customWidth="1"/>
    <col min="11777" max="11777" width="33.140625" customWidth="1"/>
    <col min="11778" max="11778" width="11" customWidth="1"/>
    <col min="11779" max="11779" width="16.85546875" customWidth="1"/>
    <col min="11780" max="11780" width="16.7109375" customWidth="1"/>
    <col min="11781" max="11781" width="14.7109375" customWidth="1"/>
    <col min="11782" max="11782" width="4.85546875" customWidth="1"/>
    <col min="11783" max="11783" width="14.7109375" customWidth="1"/>
    <col min="11784" max="11784" width="18.28515625" customWidth="1"/>
    <col min="11785" max="11785" width="15.5703125" customWidth="1"/>
    <col min="11786" max="11786" width="6.140625" customWidth="1"/>
    <col min="11787" max="11787" width="14.7109375" customWidth="1"/>
    <col min="11788" max="11788" width="16.140625" customWidth="1"/>
    <col min="11789" max="11789" width="14.7109375" customWidth="1"/>
    <col min="11790" max="11790" width="4.85546875" customWidth="1"/>
    <col min="11791" max="11791" width="18.5703125" customWidth="1"/>
    <col min="12033" max="12033" width="33.140625" customWidth="1"/>
    <col min="12034" max="12034" width="11" customWidth="1"/>
    <col min="12035" max="12035" width="16.85546875" customWidth="1"/>
    <col min="12036" max="12036" width="16.7109375" customWidth="1"/>
    <col min="12037" max="12037" width="14.7109375" customWidth="1"/>
    <col min="12038" max="12038" width="4.85546875" customWidth="1"/>
    <col min="12039" max="12039" width="14.7109375" customWidth="1"/>
    <col min="12040" max="12040" width="18.28515625" customWidth="1"/>
    <col min="12041" max="12041" width="15.5703125" customWidth="1"/>
    <col min="12042" max="12042" width="6.140625" customWidth="1"/>
    <col min="12043" max="12043" width="14.7109375" customWidth="1"/>
    <col min="12044" max="12044" width="16.140625" customWidth="1"/>
    <col min="12045" max="12045" width="14.7109375" customWidth="1"/>
    <col min="12046" max="12046" width="4.85546875" customWidth="1"/>
    <col min="12047" max="12047" width="18.5703125" customWidth="1"/>
    <col min="12289" max="12289" width="33.140625" customWidth="1"/>
    <col min="12290" max="12290" width="11" customWidth="1"/>
    <col min="12291" max="12291" width="16.85546875" customWidth="1"/>
    <col min="12292" max="12292" width="16.7109375" customWidth="1"/>
    <col min="12293" max="12293" width="14.7109375" customWidth="1"/>
    <col min="12294" max="12294" width="4.85546875" customWidth="1"/>
    <col min="12295" max="12295" width="14.7109375" customWidth="1"/>
    <col min="12296" max="12296" width="18.28515625" customWidth="1"/>
    <col min="12297" max="12297" width="15.5703125" customWidth="1"/>
    <col min="12298" max="12298" width="6.140625" customWidth="1"/>
    <col min="12299" max="12299" width="14.7109375" customWidth="1"/>
    <col min="12300" max="12300" width="16.140625" customWidth="1"/>
    <col min="12301" max="12301" width="14.7109375" customWidth="1"/>
    <col min="12302" max="12302" width="4.85546875" customWidth="1"/>
    <col min="12303" max="12303" width="18.5703125" customWidth="1"/>
    <col min="12545" max="12545" width="33.140625" customWidth="1"/>
    <col min="12546" max="12546" width="11" customWidth="1"/>
    <col min="12547" max="12547" width="16.85546875" customWidth="1"/>
    <col min="12548" max="12548" width="16.7109375" customWidth="1"/>
    <col min="12549" max="12549" width="14.7109375" customWidth="1"/>
    <col min="12550" max="12550" width="4.85546875" customWidth="1"/>
    <col min="12551" max="12551" width="14.7109375" customWidth="1"/>
    <col min="12552" max="12552" width="18.28515625" customWidth="1"/>
    <col min="12553" max="12553" width="15.5703125" customWidth="1"/>
    <col min="12554" max="12554" width="6.140625" customWidth="1"/>
    <col min="12555" max="12555" width="14.7109375" customWidth="1"/>
    <col min="12556" max="12556" width="16.140625" customWidth="1"/>
    <col min="12557" max="12557" width="14.7109375" customWidth="1"/>
    <col min="12558" max="12558" width="4.85546875" customWidth="1"/>
    <col min="12559" max="12559" width="18.5703125" customWidth="1"/>
    <col min="12801" max="12801" width="33.140625" customWidth="1"/>
    <col min="12802" max="12802" width="11" customWidth="1"/>
    <col min="12803" max="12803" width="16.85546875" customWidth="1"/>
    <col min="12804" max="12804" width="16.7109375" customWidth="1"/>
    <col min="12805" max="12805" width="14.7109375" customWidth="1"/>
    <col min="12806" max="12806" width="4.85546875" customWidth="1"/>
    <col min="12807" max="12807" width="14.7109375" customWidth="1"/>
    <col min="12808" max="12808" width="18.28515625" customWidth="1"/>
    <col min="12809" max="12809" width="15.5703125" customWidth="1"/>
    <col min="12810" max="12810" width="6.140625" customWidth="1"/>
    <col min="12811" max="12811" width="14.7109375" customWidth="1"/>
    <col min="12812" max="12812" width="16.140625" customWidth="1"/>
    <col min="12813" max="12813" width="14.7109375" customWidth="1"/>
    <col min="12814" max="12814" width="4.85546875" customWidth="1"/>
    <col min="12815" max="12815" width="18.5703125" customWidth="1"/>
    <col min="13057" max="13057" width="33.140625" customWidth="1"/>
    <col min="13058" max="13058" width="11" customWidth="1"/>
    <col min="13059" max="13059" width="16.85546875" customWidth="1"/>
    <col min="13060" max="13060" width="16.7109375" customWidth="1"/>
    <col min="13061" max="13061" width="14.7109375" customWidth="1"/>
    <col min="13062" max="13062" width="4.85546875" customWidth="1"/>
    <col min="13063" max="13063" width="14.7109375" customWidth="1"/>
    <col min="13064" max="13064" width="18.28515625" customWidth="1"/>
    <col min="13065" max="13065" width="15.5703125" customWidth="1"/>
    <col min="13066" max="13066" width="6.140625" customWidth="1"/>
    <col min="13067" max="13067" width="14.7109375" customWidth="1"/>
    <col min="13068" max="13068" width="16.140625" customWidth="1"/>
    <col min="13069" max="13069" width="14.7109375" customWidth="1"/>
    <col min="13070" max="13070" width="4.85546875" customWidth="1"/>
    <col min="13071" max="13071" width="18.5703125" customWidth="1"/>
    <col min="13313" max="13313" width="33.140625" customWidth="1"/>
    <col min="13314" max="13314" width="11" customWidth="1"/>
    <col min="13315" max="13315" width="16.85546875" customWidth="1"/>
    <col min="13316" max="13316" width="16.7109375" customWidth="1"/>
    <col min="13317" max="13317" width="14.7109375" customWidth="1"/>
    <col min="13318" max="13318" width="4.85546875" customWidth="1"/>
    <col min="13319" max="13319" width="14.7109375" customWidth="1"/>
    <col min="13320" max="13320" width="18.28515625" customWidth="1"/>
    <col min="13321" max="13321" width="15.5703125" customWidth="1"/>
    <col min="13322" max="13322" width="6.140625" customWidth="1"/>
    <col min="13323" max="13323" width="14.7109375" customWidth="1"/>
    <col min="13324" max="13324" width="16.140625" customWidth="1"/>
    <col min="13325" max="13325" width="14.7109375" customWidth="1"/>
    <col min="13326" max="13326" width="4.85546875" customWidth="1"/>
    <col min="13327" max="13327" width="18.5703125" customWidth="1"/>
    <col min="13569" max="13569" width="33.140625" customWidth="1"/>
    <col min="13570" max="13570" width="11" customWidth="1"/>
    <col min="13571" max="13571" width="16.85546875" customWidth="1"/>
    <col min="13572" max="13572" width="16.7109375" customWidth="1"/>
    <col min="13573" max="13573" width="14.7109375" customWidth="1"/>
    <col min="13574" max="13574" width="4.85546875" customWidth="1"/>
    <col min="13575" max="13575" width="14.7109375" customWidth="1"/>
    <col min="13576" max="13576" width="18.28515625" customWidth="1"/>
    <col min="13577" max="13577" width="15.5703125" customWidth="1"/>
    <col min="13578" max="13578" width="6.140625" customWidth="1"/>
    <col min="13579" max="13579" width="14.7109375" customWidth="1"/>
    <col min="13580" max="13580" width="16.140625" customWidth="1"/>
    <col min="13581" max="13581" width="14.7109375" customWidth="1"/>
    <col min="13582" max="13582" width="4.85546875" customWidth="1"/>
    <col min="13583" max="13583" width="18.5703125" customWidth="1"/>
    <col min="13825" max="13825" width="33.140625" customWidth="1"/>
    <col min="13826" max="13826" width="11" customWidth="1"/>
    <col min="13827" max="13827" width="16.85546875" customWidth="1"/>
    <col min="13828" max="13828" width="16.7109375" customWidth="1"/>
    <col min="13829" max="13829" width="14.7109375" customWidth="1"/>
    <col min="13830" max="13830" width="4.85546875" customWidth="1"/>
    <col min="13831" max="13831" width="14.7109375" customWidth="1"/>
    <col min="13832" max="13832" width="18.28515625" customWidth="1"/>
    <col min="13833" max="13833" width="15.5703125" customWidth="1"/>
    <col min="13834" max="13834" width="6.140625" customWidth="1"/>
    <col min="13835" max="13835" width="14.7109375" customWidth="1"/>
    <col min="13836" max="13836" width="16.140625" customWidth="1"/>
    <col min="13837" max="13837" width="14.7109375" customWidth="1"/>
    <col min="13838" max="13838" width="4.85546875" customWidth="1"/>
    <col min="13839" max="13839" width="18.5703125" customWidth="1"/>
    <col min="14081" max="14081" width="33.140625" customWidth="1"/>
    <col min="14082" max="14082" width="11" customWidth="1"/>
    <col min="14083" max="14083" width="16.85546875" customWidth="1"/>
    <col min="14084" max="14084" width="16.7109375" customWidth="1"/>
    <col min="14085" max="14085" width="14.7109375" customWidth="1"/>
    <col min="14086" max="14086" width="4.85546875" customWidth="1"/>
    <col min="14087" max="14087" width="14.7109375" customWidth="1"/>
    <col min="14088" max="14088" width="18.28515625" customWidth="1"/>
    <col min="14089" max="14089" width="15.5703125" customWidth="1"/>
    <col min="14090" max="14090" width="6.140625" customWidth="1"/>
    <col min="14091" max="14091" width="14.7109375" customWidth="1"/>
    <col min="14092" max="14092" width="16.140625" customWidth="1"/>
    <col min="14093" max="14093" width="14.7109375" customWidth="1"/>
    <col min="14094" max="14094" width="4.85546875" customWidth="1"/>
    <col min="14095" max="14095" width="18.5703125" customWidth="1"/>
    <col min="14337" max="14337" width="33.140625" customWidth="1"/>
    <col min="14338" max="14338" width="11" customWidth="1"/>
    <col min="14339" max="14339" width="16.85546875" customWidth="1"/>
    <col min="14340" max="14340" width="16.7109375" customWidth="1"/>
    <col min="14341" max="14341" width="14.7109375" customWidth="1"/>
    <col min="14342" max="14342" width="4.85546875" customWidth="1"/>
    <col min="14343" max="14343" width="14.7109375" customWidth="1"/>
    <col min="14344" max="14344" width="18.28515625" customWidth="1"/>
    <col min="14345" max="14345" width="15.5703125" customWidth="1"/>
    <col min="14346" max="14346" width="6.140625" customWidth="1"/>
    <col min="14347" max="14347" width="14.7109375" customWidth="1"/>
    <col min="14348" max="14348" width="16.140625" customWidth="1"/>
    <col min="14349" max="14349" width="14.7109375" customWidth="1"/>
    <col min="14350" max="14350" width="4.85546875" customWidth="1"/>
    <col min="14351" max="14351" width="18.5703125" customWidth="1"/>
    <col min="14593" max="14593" width="33.140625" customWidth="1"/>
    <col min="14594" max="14594" width="11" customWidth="1"/>
    <col min="14595" max="14595" width="16.85546875" customWidth="1"/>
    <col min="14596" max="14596" width="16.7109375" customWidth="1"/>
    <col min="14597" max="14597" width="14.7109375" customWidth="1"/>
    <col min="14598" max="14598" width="4.85546875" customWidth="1"/>
    <col min="14599" max="14599" width="14.7109375" customWidth="1"/>
    <col min="14600" max="14600" width="18.28515625" customWidth="1"/>
    <col min="14601" max="14601" width="15.5703125" customWidth="1"/>
    <col min="14602" max="14602" width="6.140625" customWidth="1"/>
    <col min="14603" max="14603" width="14.7109375" customWidth="1"/>
    <col min="14604" max="14604" width="16.140625" customWidth="1"/>
    <col min="14605" max="14605" width="14.7109375" customWidth="1"/>
    <col min="14606" max="14606" width="4.85546875" customWidth="1"/>
    <col min="14607" max="14607" width="18.5703125" customWidth="1"/>
    <col min="14849" max="14849" width="33.140625" customWidth="1"/>
    <col min="14850" max="14850" width="11" customWidth="1"/>
    <col min="14851" max="14851" width="16.85546875" customWidth="1"/>
    <col min="14852" max="14852" width="16.7109375" customWidth="1"/>
    <col min="14853" max="14853" width="14.7109375" customWidth="1"/>
    <col min="14854" max="14854" width="4.85546875" customWidth="1"/>
    <col min="14855" max="14855" width="14.7109375" customWidth="1"/>
    <col min="14856" max="14856" width="18.28515625" customWidth="1"/>
    <col min="14857" max="14857" width="15.5703125" customWidth="1"/>
    <col min="14858" max="14858" width="6.140625" customWidth="1"/>
    <col min="14859" max="14859" width="14.7109375" customWidth="1"/>
    <col min="14860" max="14860" width="16.140625" customWidth="1"/>
    <col min="14861" max="14861" width="14.7109375" customWidth="1"/>
    <col min="14862" max="14862" width="4.85546875" customWidth="1"/>
    <col min="14863" max="14863" width="18.5703125" customWidth="1"/>
    <col min="15105" max="15105" width="33.140625" customWidth="1"/>
    <col min="15106" max="15106" width="11" customWidth="1"/>
    <col min="15107" max="15107" width="16.85546875" customWidth="1"/>
    <col min="15108" max="15108" width="16.7109375" customWidth="1"/>
    <col min="15109" max="15109" width="14.7109375" customWidth="1"/>
    <col min="15110" max="15110" width="4.85546875" customWidth="1"/>
    <col min="15111" max="15111" width="14.7109375" customWidth="1"/>
    <col min="15112" max="15112" width="18.28515625" customWidth="1"/>
    <col min="15113" max="15113" width="15.5703125" customWidth="1"/>
    <col min="15114" max="15114" width="6.140625" customWidth="1"/>
    <col min="15115" max="15115" width="14.7109375" customWidth="1"/>
    <col min="15116" max="15116" width="16.140625" customWidth="1"/>
    <col min="15117" max="15117" width="14.7109375" customWidth="1"/>
    <col min="15118" max="15118" width="4.85546875" customWidth="1"/>
    <col min="15119" max="15119" width="18.5703125" customWidth="1"/>
    <col min="15361" max="15361" width="33.140625" customWidth="1"/>
    <col min="15362" max="15362" width="11" customWidth="1"/>
    <col min="15363" max="15363" width="16.85546875" customWidth="1"/>
    <col min="15364" max="15364" width="16.7109375" customWidth="1"/>
    <col min="15365" max="15365" width="14.7109375" customWidth="1"/>
    <col min="15366" max="15366" width="4.85546875" customWidth="1"/>
    <col min="15367" max="15367" width="14.7109375" customWidth="1"/>
    <col min="15368" max="15368" width="18.28515625" customWidth="1"/>
    <col min="15369" max="15369" width="15.5703125" customWidth="1"/>
    <col min="15370" max="15370" width="6.140625" customWidth="1"/>
    <col min="15371" max="15371" width="14.7109375" customWidth="1"/>
    <col min="15372" max="15372" width="16.140625" customWidth="1"/>
    <col min="15373" max="15373" width="14.7109375" customWidth="1"/>
    <col min="15374" max="15374" width="4.85546875" customWidth="1"/>
    <col min="15375" max="15375" width="18.5703125" customWidth="1"/>
    <col min="15617" max="15617" width="33.140625" customWidth="1"/>
    <col min="15618" max="15618" width="11" customWidth="1"/>
    <col min="15619" max="15619" width="16.85546875" customWidth="1"/>
    <col min="15620" max="15620" width="16.7109375" customWidth="1"/>
    <col min="15621" max="15621" width="14.7109375" customWidth="1"/>
    <col min="15622" max="15622" width="4.85546875" customWidth="1"/>
    <col min="15623" max="15623" width="14.7109375" customWidth="1"/>
    <col min="15624" max="15624" width="18.28515625" customWidth="1"/>
    <col min="15625" max="15625" width="15.5703125" customWidth="1"/>
    <col min="15626" max="15626" width="6.140625" customWidth="1"/>
    <col min="15627" max="15627" width="14.7109375" customWidth="1"/>
    <col min="15628" max="15628" width="16.140625" customWidth="1"/>
    <col min="15629" max="15629" width="14.7109375" customWidth="1"/>
    <col min="15630" max="15630" width="4.85546875" customWidth="1"/>
    <col min="15631" max="15631" width="18.5703125" customWidth="1"/>
    <col min="15873" max="15873" width="33.140625" customWidth="1"/>
    <col min="15874" max="15874" width="11" customWidth="1"/>
    <col min="15875" max="15875" width="16.85546875" customWidth="1"/>
    <col min="15876" max="15876" width="16.7109375" customWidth="1"/>
    <col min="15877" max="15877" width="14.7109375" customWidth="1"/>
    <col min="15878" max="15878" width="4.85546875" customWidth="1"/>
    <col min="15879" max="15879" width="14.7109375" customWidth="1"/>
    <col min="15880" max="15880" width="18.28515625" customWidth="1"/>
    <col min="15881" max="15881" width="15.5703125" customWidth="1"/>
    <col min="15882" max="15882" width="6.140625" customWidth="1"/>
    <col min="15883" max="15883" width="14.7109375" customWidth="1"/>
    <col min="15884" max="15884" width="16.140625" customWidth="1"/>
    <col min="15885" max="15885" width="14.7109375" customWidth="1"/>
    <col min="15886" max="15886" width="4.85546875" customWidth="1"/>
    <col min="15887" max="15887" width="18.5703125" customWidth="1"/>
    <col min="16129" max="16129" width="33.140625" customWidth="1"/>
    <col min="16130" max="16130" width="11" customWidth="1"/>
    <col min="16131" max="16131" width="16.85546875" customWidth="1"/>
    <col min="16132" max="16132" width="16.7109375" customWidth="1"/>
    <col min="16133" max="16133" width="14.7109375" customWidth="1"/>
    <col min="16134" max="16134" width="4.85546875" customWidth="1"/>
    <col min="16135" max="16135" width="14.7109375" customWidth="1"/>
    <col min="16136" max="16136" width="18.28515625" customWidth="1"/>
    <col min="16137" max="16137" width="15.5703125" customWidth="1"/>
    <col min="16138" max="16138" width="6.140625" customWidth="1"/>
    <col min="16139" max="16139" width="14.7109375" customWidth="1"/>
    <col min="16140" max="16140" width="16.140625" customWidth="1"/>
    <col min="16141" max="16141" width="14.7109375" customWidth="1"/>
    <col min="16142" max="16142" width="4.85546875" customWidth="1"/>
    <col min="16143" max="16143" width="18.5703125" customWidth="1"/>
  </cols>
  <sheetData>
    <row r="1" spans="1:19" ht="15.75">
      <c r="A1" s="651" t="s">
        <v>114</v>
      </c>
      <c r="B1" s="546"/>
      <c r="C1" s="546"/>
      <c r="D1" s="546"/>
      <c r="E1" s="546"/>
      <c r="F1" s="546"/>
      <c r="G1" s="209"/>
      <c r="H1" s="546"/>
      <c r="I1" s="546"/>
      <c r="J1" s="546"/>
      <c r="K1" s="546"/>
      <c r="L1" s="546"/>
      <c r="M1" s="546"/>
      <c r="N1" s="546"/>
      <c r="O1" s="546"/>
      <c r="P1" s="546"/>
      <c r="Q1" s="546"/>
      <c r="R1" s="546"/>
      <c r="S1" s="546"/>
    </row>
    <row r="2" spans="1:19" ht="15.75">
      <c r="A2" s="651" t="s">
        <v>114</v>
      </c>
      <c r="B2" s="546"/>
      <c r="C2" s="546"/>
      <c r="D2" s="546"/>
      <c r="E2" s="546"/>
      <c r="F2" s="546"/>
      <c r="G2" s="209"/>
      <c r="H2" s="546"/>
      <c r="I2" s="546"/>
      <c r="J2" s="546"/>
      <c r="K2" s="546"/>
      <c r="L2" s="546"/>
      <c r="M2" s="546"/>
      <c r="N2" s="546"/>
      <c r="O2" s="546"/>
      <c r="P2" s="546"/>
      <c r="Q2" s="546"/>
      <c r="R2" s="546"/>
      <c r="S2" s="546"/>
    </row>
    <row r="3" spans="1:19" ht="19.5">
      <c r="A3" s="1336" t="s">
        <v>391</v>
      </c>
      <c r="B3" s="1336"/>
      <c r="C3" s="1336"/>
      <c r="D3" s="1336"/>
      <c r="E3" s="1336"/>
      <c r="F3" s="1336"/>
      <c r="G3" s="1336"/>
      <c r="H3" s="1336"/>
      <c r="I3" s="1336"/>
      <c r="J3" s="1336"/>
      <c r="K3" s="1336"/>
      <c r="L3" s="1336"/>
      <c r="M3" s="1336"/>
      <c r="N3" s="1336"/>
      <c r="O3" s="1336"/>
      <c r="P3" s="545"/>
      <c r="Q3" s="545"/>
      <c r="R3" s="545"/>
      <c r="S3" s="545"/>
    </row>
    <row r="4" spans="1:19" ht="19.5">
      <c r="A4" s="1336" t="s">
        <v>392</v>
      </c>
      <c r="B4" s="1336"/>
      <c r="C4" s="1336"/>
      <c r="D4" s="1336"/>
      <c r="E4" s="1336"/>
      <c r="F4" s="1336"/>
      <c r="G4" s="1336"/>
      <c r="H4" s="1336"/>
      <c r="I4" s="1336"/>
      <c r="J4" s="1336"/>
      <c r="K4" s="1336"/>
      <c r="L4" s="1336"/>
      <c r="M4" s="1336"/>
      <c r="N4" s="1336"/>
      <c r="O4" s="1336"/>
      <c r="P4" s="545"/>
      <c r="Q4" s="545"/>
      <c r="R4" s="545"/>
      <c r="S4" s="545"/>
    </row>
    <row r="5" spans="1:19" ht="19.5">
      <c r="A5" s="1336" t="s">
        <v>393</v>
      </c>
      <c r="B5" s="1336"/>
      <c r="C5" s="1336"/>
      <c r="D5" s="1336"/>
      <c r="E5" s="1336"/>
      <c r="F5" s="1336"/>
      <c r="G5" s="1336"/>
      <c r="H5" s="1336"/>
      <c r="I5" s="1336"/>
      <c r="J5" s="1336"/>
      <c r="K5" s="1336"/>
      <c r="L5" s="1336"/>
      <c r="M5" s="1336"/>
      <c r="N5" s="1336"/>
      <c r="O5" s="1336"/>
      <c r="P5" s="545"/>
      <c r="Q5" s="545"/>
      <c r="R5" s="545"/>
      <c r="S5" s="545"/>
    </row>
    <row r="6" spans="1:19" ht="19.5">
      <c r="A6" s="1336" t="s">
        <v>394</v>
      </c>
      <c r="B6" s="1336"/>
      <c r="C6" s="1336"/>
      <c r="D6" s="1336"/>
      <c r="E6" s="1336"/>
      <c r="F6" s="1336"/>
      <c r="G6" s="1336"/>
      <c r="H6" s="1336"/>
      <c r="I6" s="1336"/>
      <c r="J6" s="1336"/>
      <c r="K6" s="1336"/>
      <c r="L6" s="1336"/>
      <c r="M6" s="1336"/>
      <c r="N6" s="1336"/>
      <c r="O6" s="1336"/>
      <c r="P6" s="545"/>
      <c r="Q6" s="545"/>
      <c r="R6" s="545"/>
      <c r="S6" s="545"/>
    </row>
    <row r="7" spans="1:19" ht="19.5">
      <c r="A7" s="1336" t="s">
        <v>1151</v>
      </c>
      <c r="B7" s="1336"/>
      <c r="C7" s="1336"/>
      <c r="D7" s="1336"/>
      <c r="E7" s="1336"/>
      <c r="F7" s="1336"/>
      <c r="G7" s="1336"/>
      <c r="H7" s="1336"/>
      <c r="I7" s="1336"/>
      <c r="J7" s="1336"/>
      <c r="K7" s="1336"/>
      <c r="L7" s="1336"/>
      <c r="M7" s="1336"/>
      <c r="N7" s="1336"/>
      <c r="O7" s="1336"/>
      <c r="P7" s="545"/>
      <c r="Q7" s="545"/>
      <c r="R7" s="545"/>
      <c r="S7" s="545"/>
    </row>
    <row r="8" spans="1:19" ht="19.5">
      <c r="A8" s="1336" t="s">
        <v>395</v>
      </c>
      <c r="B8" s="1336"/>
      <c r="C8" s="1336"/>
      <c r="D8" s="1336"/>
      <c r="E8" s="1336"/>
      <c r="F8" s="1336"/>
      <c r="G8" s="1336"/>
      <c r="H8" s="1336"/>
      <c r="I8" s="1336"/>
      <c r="J8" s="1336"/>
      <c r="K8" s="1336"/>
      <c r="L8" s="1336"/>
      <c r="M8" s="1336"/>
      <c r="N8" s="1336"/>
      <c r="O8" s="1336"/>
      <c r="P8" s="545"/>
      <c r="Q8" s="545"/>
      <c r="R8" s="545"/>
      <c r="S8" s="545"/>
    </row>
    <row r="9" spans="1:19" ht="19.5">
      <c r="A9" s="1335" t="s">
        <v>1037</v>
      </c>
      <c r="B9" s="1336"/>
      <c r="C9" s="1336"/>
      <c r="D9" s="1336"/>
      <c r="E9" s="1336"/>
      <c r="F9" s="1336"/>
      <c r="G9" s="1336"/>
      <c r="H9" s="1336"/>
      <c r="I9" s="1336"/>
      <c r="J9" s="1336"/>
      <c r="K9" s="1336"/>
      <c r="L9" s="1336"/>
      <c r="M9" s="1336"/>
      <c r="N9" s="1336"/>
      <c r="O9" s="1336"/>
      <c r="P9" s="545"/>
      <c r="Q9" s="545"/>
      <c r="R9" s="545"/>
      <c r="S9" s="545"/>
    </row>
    <row r="10" spans="1:19" ht="19.5">
      <c r="A10" s="1337"/>
      <c r="B10" s="1337"/>
      <c r="C10" s="1337"/>
      <c r="D10" s="1337"/>
      <c r="E10" s="1337"/>
      <c r="F10" s="1337"/>
      <c r="G10" s="1337"/>
      <c r="H10" s="1337"/>
      <c r="I10" s="1337"/>
      <c r="J10" s="1337"/>
      <c r="K10" s="1337"/>
      <c r="L10" s="1337"/>
      <c r="M10" s="1337"/>
      <c r="N10" s="1337"/>
      <c r="O10" s="1337"/>
      <c r="P10" s="547"/>
      <c r="Q10" s="547"/>
      <c r="R10" s="547"/>
      <c r="S10" s="547"/>
    </row>
    <row r="11" spans="1:19" ht="15">
      <c r="A11" s="546"/>
      <c r="B11" s="546"/>
      <c r="C11" s="546"/>
      <c r="D11" s="546"/>
      <c r="E11" s="546"/>
      <c r="F11" s="546"/>
      <c r="G11" s="209"/>
      <c r="H11" s="546"/>
      <c r="I11" s="546"/>
      <c r="J11" s="546"/>
      <c r="K11" s="546"/>
      <c r="L11" s="546"/>
      <c r="M11" s="546"/>
      <c r="N11" s="546"/>
      <c r="O11" s="546"/>
      <c r="P11" s="546"/>
      <c r="Q11" s="546"/>
      <c r="R11" s="546"/>
      <c r="S11" s="546"/>
    </row>
    <row r="12" spans="1:19" ht="16.5" thickBot="1">
      <c r="A12" s="548"/>
      <c r="B12" s="548"/>
      <c r="C12" s="1338" t="s">
        <v>597</v>
      </c>
      <c r="D12" s="1338"/>
      <c r="E12" s="1338"/>
      <c r="F12" s="548"/>
      <c r="G12" s="1338" t="s">
        <v>598</v>
      </c>
      <c r="H12" s="1338"/>
      <c r="I12" s="1338"/>
      <c r="J12" s="548"/>
      <c r="K12" s="1338" t="s">
        <v>396</v>
      </c>
      <c r="L12" s="1338"/>
      <c r="M12" s="1338"/>
      <c r="N12" s="548"/>
      <c r="O12" s="1338" t="s">
        <v>599</v>
      </c>
      <c r="P12" s="1338"/>
      <c r="Q12" s="1338"/>
      <c r="R12" s="548"/>
      <c r="S12" s="982" t="s">
        <v>397</v>
      </c>
    </row>
    <row r="13" spans="1:19" ht="15">
      <c r="A13" s="548"/>
      <c r="B13" s="548"/>
      <c r="C13" s="549" t="s">
        <v>121</v>
      </c>
      <c r="D13" s="550"/>
      <c r="E13" s="550"/>
      <c r="F13" s="550"/>
      <c r="G13" s="551" t="s">
        <v>122</v>
      </c>
      <c r="H13" s="552"/>
      <c r="I13" s="552"/>
      <c r="J13" s="552"/>
      <c r="K13" s="553" t="s">
        <v>123</v>
      </c>
      <c r="L13" s="552"/>
      <c r="M13" s="552"/>
      <c r="N13" s="552"/>
      <c r="O13" s="554" t="s">
        <v>124</v>
      </c>
      <c r="P13" s="552"/>
      <c r="Q13" s="552"/>
      <c r="R13" s="552"/>
      <c r="S13" s="552"/>
    </row>
    <row r="14" spans="1:19" ht="15">
      <c r="A14" s="548"/>
      <c r="B14" s="548"/>
      <c r="C14" s="549" t="s">
        <v>114</v>
      </c>
      <c r="D14" s="550"/>
      <c r="E14" s="549" t="s">
        <v>398</v>
      </c>
      <c r="F14" s="550"/>
      <c r="G14" s="551" t="s">
        <v>600</v>
      </c>
      <c r="H14" s="550"/>
      <c r="I14" s="549" t="s">
        <v>398</v>
      </c>
      <c r="J14" s="550"/>
      <c r="K14" s="546"/>
      <c r="L14" s="550"/>
      <c r="M14" s="549" t="s">
        <v>398</v>
      </c>
      <c r="N14" s="550"/>
      <c r="O14" s="546"/>
      <c r="P14" s="550"/>
      <c r="Q14" s="549" t="s">
        <v>398</v>
      </c>
      <c r="R14" s="550"/>
      <c r="S14" s="549" t="s">
        <v>398</v>
      </c>
    </row>
    <row r="15" spans="1:19" ht="15">
      <c r="A15" s="548"/>
      <c r="B15" s="549" t="s">
        <v>399</v>
      </c>
      <c r="C15" s="549" t="s">
        <v>601</v>
      </c>
      <c r="D15" s="549" t="s">
        <v>400</v>
      </c>
      <c r="E15" s="549" t="s">
        <v>401</v>
      </c>
      <c r="F15" s="550"/>
      <c r="G15" s="551" t="s">
        <v>402</v>
      </c>
      <c r="H15" s="549" t="s">
        <v>400</v>
      </c>
      <c r="I15" s="549" t="s">
        <v>401</v>
      </c>
      <c r="J15" s="550"/>
      <c r="K15" s="549" t="s">
        <v>80</v>
      </c>
      <c r="L15" s="549" t="s">
        <v>400</v>
      </c>
      <c r="M15" s="549" t="s">
        <v>401</v>
      </c>
      <c r="N15" s="550"/>
      <c r="O15" s="549" t="s">
        <v>80</v>
      </c>
      <c r="P15" s="549" t="s">
        <v>400</v>
      </c>
      <c r="Q15" s="549" t="s">
        <v>401</v>
      </c>
      <c r="R15" s="550"/>
      <c r="S15" s="549" t="s">
        <v>401</v>
      </c>
    </row>
    <row r="16" spans="1:19" ht="15">
      <c r="A16" s="549"/>
      <c r="B16" s="549" t="s">
        <v>403</v>
      </c>
      <c r="C16" s="549" t="s">
        <v>404</v>
      </c>
      <c r="D16" s="549" t="s">
        <v>602</v>
      </c>
      <c r="E16" s="549" t="s">
        <v>405</v>
      </c>
      <c r="F16" s="550"/>
      <c r="G16" s="551" t="s">
        <v>404</v>
      </c>
      <c r="H16" s="549" t="s">
        <v>602</v>
      </c>
      <c r="I16" s="549" t="s">
        <v>405</v>
      </c>
      <c r="J16" s="550"/>
      <c r="K16" s="549" t="s">
        <v>404</v>
      </c>
      <c r="L16" s="549" t="s">
        <v>602</v>
      </c>
      <c r="M16" s="549" t="s">
        <v>405</v>
      </c>
      <c r="N16" s="550"/>
      <c r="O16" s="549" t="s">
        <v>404</v>
      </c>
      <c r="P16" s="549" t="s">
        <v>602</v>
      </c>
      <c r="Q16" s="549" t="s">
        <v>405</v>
      </c>
      <c r="R16" s="550"/>
      <c r="S16" s="549" t="s">
        <v>405</v>
      </c>
    </row>
    <row r="17" spans="1:19" ht="15">
      <c r="A17" s="546"/>
      <c r="B17" s="546"/>
      <c r="C17" s="546"/>
      <c r="D17" s="546"/>
      <c r="E17" s="546"/>
      <c r="F17" s="546"/>
      <c r="G17" s="209"/>
      <c r="H17" s="546"/>
      <c r="I17" s="546"/>
      <c r="J17" s="546"/>
      <c r="K17" s="546"/>
      <c r="L17" s="546"/>
      <c r="M17" s="546"/>
      <c r="N17" s="546"/>
      <c r="O17" s="546"/>
      <c r="P17" s="546"/>
      <c r="Q17" s="546"/>
      <c r="R17" s="546"/>
      <c r="S17" s="546"/>
    </row>
    <row r="18" spans="1:19" ht="15.75" thickBot="1">
      <c r="A18" s="555"/>
      <c r="B18" s="548"/>
      <c r="C18" s="203"/>
      <c r="D18" s="548"/>
      <c r="E18" s="548"/>
      <c r="F18" s="548"/>
      <c r="G18" s="203"/>
      <c r="H18" s="548"/>
      <c r="I18" s="548"/>
      <c r="J18" s="548"/>
      <c r="K18" s="203"/>
      <c r="L18" s="548"/>
      <c r="M18" s="548"/>
      <c r="N18" s="548"/>
      <c r="O18" s="203"/>
      <c r="P18" s="548"/>
      <c r="Q18" s="548"/>
      <c r="R18" s="548"/>
      <c r="S18" s="548"/>
    </row>
    <row r="19" spans="1:19" ht="15">
      <c r="A19" s="556" t="s">
        <v>406</v>
      </c>
      <c r="B19" s="557"/>
      <c r="C19" s="204"/>
      <c r="D19" s="205"/>
      <c r="E19" s="206"/>
      <c r="F19" s="557"/>
      <c r="G19" s="204"/>
      <c r="H19" s="207"/>
      <c r="I19" s="206"/>
      <c r="J19" s="557"/>
      <c r="K19" s="557"/>
      <c r="L19" s="207"/>
      <c r="M19" s="206"/>
      <c r="N19" s="557"/>
      <c r="O19" s="557"/>
      <c r="P19" s="205"/>
      <c r="Q19" s="206"/>
      <c r="R19" s="557"/>
      <c r="S19" s="206"/>
    </row>
    <row r="20" spans="1:19" ht="15">
      <c r="A20" s="1160" t="s">
        <v>603</v>
      </c>
      <c r="B20" s="208">
        <v>350.1</v>
      </c>
      <c r="C20" s="203">
        <v>6.5839999999999996E-3</v>
      </c>
      <c r="D20" s="1161">
        <v>1</v>
      </c>
      <c r="E20" s="203">
        <v>6.6E-3</v>
      </c>
      <c r="F20" s="548"/>
      <c r="G20" s="203"/>
      <c r="H20" s="210"/>
      <c r="I20" s="209"/>
      <c r="J20" s="548"/>
      <c r="K20" s="203"/>
      <c r="L20" s="210"/>
      <c r="M20" s="209"/>
      <c r="N20" s="548"/>
      <c r="O20" s="203"/>
      <c r="P20" s="1161"/>
      <c r="Q20" s="209"/>
      <c r="R20" s="548"/>
      <c r="S20" s="203">
        <v>6.6E-3</v>
      </c>
    </row>
    <row r="21" spans="1:19" ht="15">
      <c r="A21" s="1160" t="s">
        <v>604</v>
      </c>
      <c r="B21" s="208">
        <v>351</v>
      </c>
      <c r="C21" s="203"/>
      <c r="D21" s="1161"/>
      <c r="E21" s="203"/>
      <c r="F21" s="548"/>
      <c r="G21" s="203">
        <v>0.14219999999999999</v>
      </c>
      <c r="H21" s="210">
        <v>1</v>
      </c>
      <c r="I21" s="203">
        <v>0.14219999999999999</v>
      </c>
      <c r="J21" s="548"/>
      <c r="K21" s="203"/>
      <c r="L21" s="210"/>
      <c r="M21" s="209"/>
      <c r="N21" s="548"/>
      <c r="O21" s="203"/>
      <c r="P21" s="1161"/>
      <c r="Q21" s="209"/>
      <c r="R21" s="548"/>
      <c r="S21" s="203">
        <v>0.14219999999999999</v>
      </c>
    </row>
    <row r="22" spans="1:19" ht="15">
      <c r="A22" s="546" t="s">
        <v>407</v>
      </c>
      <c r="B22" s="208">
        <v>352</v>
      </c>
      <c r="C22" s="203">
        <v>2.2200000000000001E-2</v>
      </c>
      <c r="D22" s="210">
        <v>0.51122100000000004</v>
      </c>
      <c r="E22" s="203">
        <v>1.1299999999999999E-2</v>
      </c>
      <c r="F22" s="548"/>
      <c r="G22" s="203">
        <v>1.6199999999999999E-2</v>
      </c>
      <c r="H22" s="210">
        <v>0.39937400000000001</v>
      </c>
      <c r="I22" s="203">
        <v>6.4999999999999997E-3</v>
      </c>
      <c r="J22" s="548"/>
      <c r="K22" s="203">
        <v>2.1899999999999999E-2</v>
      </c>
      <c r="L22" s="210">
        <v>3.3013000000000001E-2</v>
      </c>
      <c r="M22" s="203">
        <v>6.9999999999999999E-4</v>
      </c>
      <c r="N22" s="548"/>
      <c r="O22" s="203">
        <v>2.1899999999999999E-2</v>
      </c>
      <c r="P22" s="210">
        <v>5.6391999999999998E-2</v>
      </c>
      <c r="Q22" s="203">
        <v>1.1999999999999999E-3</v>
      </c>
      <c r="R22" s="548"/>
      <c r="S22" s="203">
        <v>1.9699999999999999E-2</v>
      </c>
    </row>
    <row r="23" spans="1:19" ht="15">
      <c r="A23" s="546" t="s">
        <v>408</v>
      </c>
      <c r="B23" s="208">
        <v>353</v>
      </c>
      <c r="C23" s="203">
        <v>2.75E-2</v>
      </c>
      <c r="D23" s="210">
        <v>0.51122100000000004</v>
      </c>
      <c r="E23" s="203">
        <v>1.41E-2</v>
      </c>
      <c r="F23" s="548"/>
      <c r="G23" s="203">
        <v>2.3699999999999999E-2</v>
      </c>
      <c r="H23" s="210">
        <v>0.39937400000000001</v>
      </c>
      <c r="I23" s="203">
        <v>9.4999999999999998E-3</v>
      </c>
      <c r="J23" s="548"/>
      <c r="K23" s="203">
        <v>2.1899999999999999E-2</v>
      </c>
      <c r="L23" s="210">
        <v>3.3013000000000001E-2</v>
      </c>
      <c r="M23" s="203">
        <v>6.9999999999999999E-4</v>
      </c>
      <c r="N23" s="548"/>
      <c r="O23" s="203">
        <v>2.1899999999999999E-2</v>
      </c>
      <c r="P23" s="210">
        <v>5.6391999999999998E-2</v>
      </c>
      <c r="Q23" s="203">
        <v>1.1999999999999999E-3</v>
      </c>
      <c r="R23" s="548"/>
      <c r="S23" s="203">
        <v>2.5499999999999998E-2</v>
      </c>
    </row>
    <row r="24" spans="1:19" ht="15">
      <c r="A24" s="546" t="s">
        <v>409</v>
      </c>
      <c r="B24" s="208">
        <v>354</v>
      </c>
      <c r="C24" s="203">
        <v>1.6299999999999999E-2</v>
      </c>
      <c r="D24" s="210">
        <v>0.51122100000000004</v>
      </c>
      <c r="E24" s="203">
        <v>8.3000000000000001E-3</v>
      </c>
      <c r="F24" s="548"/>
      <c r="G24" s="203">
        <v>1.5900000000000001E-2</v>
      </c>
      <c r="H24" s="210">
        <v>0.39937400000000001</v>
      </c>
      <c r="I24" s="203">
        <v>6.4000000000000003E-3</v>
      </c>
      <c r="J24" s="548"/>
      <c r="K24" s="203">
        <v>2.1899999999999999E-2</v>
      </c>
      <c r="L24" s="210">
        <v>3.3013000000000001E-2</v>
      </c>
      <c r="M24" s="203">
        <v>6.9999999999999999E-4</v>
      </c>
      <c r="N24" s="548"/>
      <c r="O24" s="203">
        <v>2.1899999999999999E-2</v>
      </c>
      <c r="P24" s="210">
        <v>5.6391999999999998E-2</v>
      </c>
      <c r="Q24" s="203">
        <v>1.1999999999999999E-3</v>
      </c>
      <c r="R24" s="548"/>
      <c r="S24" s="203">
        <v>1.66E-2</v>
      </c>
    </row>
    <row r="25" spans="1:19" ht="15">
      <c r="A25" s="546" t="s">
        <v>410</v>
      </c>
      <c r="B25" s="208">
        <v>355</v>
      </c>
      <c r="C25" s="203">
        <v>3.7199999999999997E-2</v>
      </c>
      <c r="D25" s="210">
        <v>0.51122100000000004</v>
      </c>
      <c r="E25" s="203">
        <v>1.9E-2</v>
      </c>
      <c r="F25" s="548"/>
      <c r="G25" s="203">
        <v>2.7099999999999999E-2</v>
      </c>
      <c r="H25" s="210">
        <v>0.39937400000000001</v>
      </c>
      <c r="I25" s="203">
        <v>1.0800000000000001E-2</v>
      </c>
      <c r="J25" s="548"/>
      <c r="K25" s="203">
        <v>2.1899999999999999E-2</v>
      </c>
      <c r="L25" s="210">
        <v>3.3013000000000001E-2</v>
      </c>
      <c r="M25" s="203">
        <v>6.9999999999999999E-4</v>
      </c>
      <c r="N25" s="548"/>
      <c r="O25" s="203">
        <v>2.1899999999999999E-2</v>
      </c>
      <c r="P25" s="210">
        <v>5.6391999999999998E-2</v>
      </c>
      <c r="Q25" s="203">
        <v>1.1999999999999999E-3</v>
      </c>
      <c r="R25" s="548"/>
      <c r="S25" s="203">
        <v>3.1699999999999999E-2</v>
      </c>
    </row>
    <row r="26" spans="1:19" ht="15">
      <c r="A26" s="546" t="s">
        <v>605</v>
      </c>
      <c r="B26" s="208">
        <v>356</v>
      </c>
      <c r="C26" s="203">
        <v>1.9900000000000001E-2</v>
      </c>
      <c r="D26" s="210">
        <v>0.51122100000000004</v>
      </c>
      <c r="E26" s="203">
        <v>1.0200000000000001E-2</v>
      </c>
      <c r="F26" s="548"/>
      <c r="G26" s="203">
        <v>1.5299999999999999E-2</v>
      </c>
      <c r="H26" s="210">
        <v>0.39937400000000001</v>
      </c>
      <c r="I26" s="203">
        <v>6.1000000000000004E-3</v>
      </c>
      <c r="J26" s="548"/>
      <c r="K26" s="203">
        <v>2.1899999999999999E-2</v>
      </c>
      <c r="L26" s="210">
        <v>3.3013000000000001E-2</v>
      </c>
      <c r="M26" s="203">
        <v>6.9999999999999999E-4</v>
      </c>
      <c r="N26" s="548"/>
      <c r="O26" s="203">
        <v>2.1899999999999999E-2</v>
      </c>
      <c r="P26" s="210">
        <v>5.6391999999999998E-2</v>
      </c>
      <c r="Q26" s="203">
        <v>1.1999999999999999E-3</v>
      </c>
      <c r="R26" s="548"/>
      <c r="S26" s="203">
        <v>1.8200000000000001E-2</v>
      </c>
    </row>
    <row r="27" spans="1:19" ht="15">
      <c r="A27" s="546" t="s">
        <v>411</v>
      </c>
      <c r="B27" s="208">
        <v>357</v>
      </c>
      <c r="C27" s="203">
        <v>2.4E-2</v>
      </c>
      <c r="D27" s="210">
        <v>0.51122100000000004</v>
      </c>
      <c r="E27" s="203">
        <v>1.23E-2</v>
      </c>
      <c r="F27" s="548"/>
      <c r="G27" s="203">
        <v>3.7100000000000001E-2</v>
      </c>
      <c r="H27" s="210">
        <v>0.39937400000000001</v>
      </c>
      <c r="I27" s="203">
        <v>1.4800000000000001E-2</v>
      </c>
      <c r="J27" s="548"/>
      <c r="K27" s="203">
        <v>2.1899999999999999E-2</v>
      </c>
      <c r="L27" s="210">
        <v>3.3013000000000001E-2</v>
      </c>
      <c r="M27" s="203">
        <v>6.9999999999999999E-4</v>
      </c>
      <c r="N27" s="548"/>
      <c r="O27" s="203">
        <v>2.1899999999999999E-2</v>
      </c>
      <c r="P27" s="210">
        <v>5.6391999999999998E-2</v>
      </c>
      <c r="Q27" s="203">
        <v>1.1999999999999999E-3</v>
      </c>
      <c r="R27" s="548"/>
      <c r="S27" s="203">
        <v>2.9000000000000001E-2</v>
      </c>
    </row>
    <row r="28" spans="1:19" ht="15">
      <c r="A28" s="546" t="s">
        <v>412</v>
      </c>
      <c r="B28" s="208">
        <v>358</v>
      </c>
      <c r="C28" s="203">
        <v>4.6399999999999997E-2</v>
      </c>
      <c r="D28" s="210">
        <v>0.51122100000000004</v>
      </c>
      <c r="E28" s="203">
        <v>2.3699999999999999E-2</v>
      </c>
      <c r="F28" s="548"/>
      <c r="G28" s="203">
        <v>5.2400000000000002E-2</v>
      </c>
      <c r="H28" s="210">
        <v>0.39937400000000001</v>
      </c>
      <c r="I28" s="203">
        <v>2.0899999999999998E-2</v>
      </c>
      <c r="J28" s="548"/>
      <c r="K28" s="203">
        <v>2.1899999999999999E-2</v>
      </c>
      <c r="L28" s="210">
        <v>3.3013000000000001E-2</v>
      </c>
      <c r="M28" s="203">
        <v>6.9999999999999999E-4</v>
      </c>
      <c r="N28" s="548"/>
      <c r="O28" s="203">
        <v>2.1899999999999999E-2</v>
      </c>
      <c r="P28" s="210">
        <v>5.6391999999999998E-2</v>
      </c>
      <c r="Q28" s="203">
        <v>1.1999999999999999E-3</v>
      </c>
      <c r="R28" s="548"/>
      <c r="S28" s="203">
        <v>4.65E-2</v>
      </c>
    </row>
    <row r="29" spans="1:19" ht="15.75" thickBot="1">
      <c r="A29" s="546"/>
      <c r="B29" s="548"/>
      <c r="C29" s="203"/>
      <c r="D29" s="1161"/>
      <c r="E29" s="209"/>
      <c r="F29" s="548"/>
      <c r="G29" s="203"/>
      <c r="H29" s="1161"/>
      <c r="I29" s="209"/>
      <c r="J29" s="548"/>
      <c r="K29" s="203"/>
      <c r="L29" s="1161"/>
      <c r="M29" s="209"/>
      <c r="N29" s="548"/>
      <c r="O29" s="203"/>
      <c r="P29" s="1161"/>
      <c r="Q29" s="203"/>
      <c r="R29" s="548"/>
      <c r="S29" s="203"/>
    </row>
    <row r="30" spans="1:19" ht="15">
      <c r="A30" s="983" t="s">
        <v>925</v>
      </c>
      <c r="B30" s="984"/>
      <c r="C30" s="1162"/>
      <c r="D30" s="985"/>
      <c r="E30" s="986"/>
      <c r="F30" s="984"/>
      <c r="G30" s="1162"/>
      <c r="H30" s="985"/>
      <c r="I30" s="986"/>
      <c r="J30" s="984"/>
      <c r="K30" s="984"/>
      <c r="L30" s="985"/>
      <c r="M30" s="986"/>
      <c r="N30" s="984"/>
      <c r="O30" s="984"/>
      <c r="P30" s="985"/>
      <c r="Q30" s="986"/>
      <c r="R30" s="984"/>
      <c r="S30" s="987"/>
    </row>
    <row r="31" spans="1:19" ht="15">
      <c r="A31" s="1160" t="s">
        <v>801</v>
      </c>
      <c r="B31" s="208">
        <v>390</v>
      </c>
      <c r="C31" s="203">
        <v>2.06E-2</v>
      </c>
      <c r="D31" s="1161">
        <v>0.523756</v>
      </c>
      <c r="E31" s="203">
        <v>1.0800000000000001E-2</v>
      </c>
      <c r="F31" s="548"/>
      <c r="G31" s="203">
        <v>1.9099999999999999E-2</v>
      </c>
      <c r="H31" s="210">
        <v>0.42593999999999999</v>
      </c>
      <c r="I31" s="203">
        <v>8.0999999999999996E-3</v>
      </c>
      <c r="J31" s="548"/>
      <c r="K31" s="203">
        <v>3.4300000000000004E-2</v>
      </c>
      <c r="L31" s="210">
        <v>1.9295E-2</v>
      </c>
      <c r="M31" s="203">
        <v>6.9999999999999999E-4</v>
      </c>
      <c r="N31" s="548"/>
      <c r="O31" s="203">
        <v>3.4300000000000004E-2</v>
      </c>
      <c r="P31" s="1161">
        <v>3.1008999999999998E-2</v>
      </c>
      <c r="Q31" s="203">
        <v>1.1000000000000001E-3</v>
      </c>
      <c r="R31" s="548"/>
      <c r="S31" s="203">
        <v>2.07E-2</v>
      </c>
    </row>
    <row r="32" spans="1:19" ht="15">
      <c r="A32" s="1160" t="s">
        <v>802</v>
      </c>
      <c r="B32" s="208">
        <v>391</v>
      </c>
      <c r="C32" s="203">
        <v>3.2500000000000001E-2</v>
      </c>
      <c r="D32" s="1161">
        <v>0.523756</v>
      </c>
      <c r="E32" s="203">
        <v>1.7000000000000001E-2</v>
      </c>
      <c r="F32" s="548"/>
      <c r="G32" s="203">
        <v>3.1699999999999999E-2</v>
      </c>
      <c r="H32" s="210">
        <v>0.42593999999999999</v>
      </c>
      <c r="I32" s="203">
        <v>1.35E-2</v>
      </c>
      <c r="J32" s="548"/>
      <c r="K32" s="203">
        <v>3.4300000000000004E-2</v>
      </c>
      <c r="L32" s="210">
        <v>1.9295E-2</v>
      </c>
      <c r="M32" s="203">
        <v>6.9999999999999999E-4</v>
      </c>
      <c r="N32" s="548"/>
      <c r="O32" s="203">
        <v>3.4300000000000004E-2</v>
      </c>
      <c r="P32" s="1161">
        <v>3.1008999999999998E-2</v>
      </c>
      <c r="Q32" s="203">
        <v>1.1000000000000001E-3</v>
      </c>
      <c r="R32" s="548"/>
      <c r="S32" s="203">
        <v>3.2300000000000002E-2</v>
      </c>
    </row>
    <row r="33" spans="1:19" ht="15">
      <c r="A33" s="1160" t="s">
        <v>926</v>
      </c>
      <c r="B33" s="208">
        <v>392</v>
      </c>
      <c r="C33" s="203">
        <v>3.4500000000000003E-2</v>
      </c>
      <c r="D33" s="210">
        <v>0.523756</v>
      </c>
      <c r="E33" s="203">
        <v>1.8100000000000002E-2</v>
      </c>
      <c r="F33" s="548"/>
      <c r="G33" s="203">
        <v>3.4000000000000002E-2</v>
      </c>
      <c r="H33" s="210">
        <v>0.42593999999999999</v>
      </c>
      <c r="I33" s="203">
        <v>1.4500000000000001E-2</v>
      </c>
      <c r="J33" s="548"/>
      <c r="K33" s="203">
        <v>3.4300000000000004E-2</v>
      </c>
      <c r="L33" s="210">
        <v>1.9295E-2</v>
      </c>
      <c r="M33" s="203">
        <v>6.9999999999999999E-4</v>
      </c>
      <c r="N33" s="548"/>
      <c r="O33" s="203">
        <v>3.4300000000000004E-2</v>
      </c>
      <c r="P33" s="210">
        <v>3.1008999999999998E-2</v>
      </c>
      <c r="Q33" s="203">
        <v>1.1000000000000001E-3</v>
      </c>
      <c r="R33" s="548"/>
      <c r="S33" s="203">
        <v>3.44E-2</v>
      </c>
    </row>
    <row r="34" spans="1:19" ht="15">
      <c r="A34" s="1160" t="s">
        <v>803</v>
      </c>
      <c r="B34" s="208">
        <v>393</v>
      </c>
      <c r="C34" s="203">
        <v>1.78E-2</v>
      </c>
      <c r="D34" s="210">
        <v>0.523756</v>
      </c>
      <c r="E34" s="203">
        <v>9.2999999999999992E-3</v>
      </c>
      <c r="F34" s="548"/>
      <c r="G34" s="203">
        <v>1.7999999999999999E-2</v>
      </c>
      <c r="H34" s="210">
        <v>0.42593999999999999</v>
      </c>
      <c r="I34" s="203">
        <v>7.7000000000000002E-3</v>
      </c>
      <c r="J34" s="548"/>
      <c r="K34" s="203">
        <v>3.4300000000000004E-2</v>
      </c>
      <c r="L34" s="210">
        <v>1.9295E-2</v>
      </c>
      <c r="M34" s="203">
        <v>6.9999999999999999E-4</v>
      </c>
      <c r="N34" s="548"/>
      <c r="O34" s="203">
        <v>3.4300000000000004E-2</v>
      </c>
      <c r="P34" s="210">
        <v>3.1008999999999998E-2</v>
      </c>
      <c r="Q34" s="203">
        <v>1.1000000000000001E-3</v>
      </c>
      <c r="R34" s="548"/>
      <c r="S34" s="203">
        <v>1.8800000000000001E-2</v>
      </c>
    </row>
    <row r="35" spans="1:19" ht="15.75" customHeight="1">
      <c r="A35" s="1160" t="s">
        <v>804</v>
      </c>
      <c r="B35" s="208">
        <v>394</v>
      </c>
      <c r="C35" s="203">
        <v>2.5899999999999999E-2</v>
      </c>
      <c r="D35" s="210">
        <v>0.523756</v>
      </c>
      <c r="E35" s="203">
        <v>1.3599999999999999E-2</v>
      </c>
      <c r="F35" s="548"/>
      <c r="G35" s="203">
        <v>2.5700000000000001E-2</v>
      </c>
      <c r="H35" s="210">
        <v>0.42593999999999999</v>
      </c>
      <c r="I35" s="203">
        <v>1.09E-2</v>
      </c>
      <c r="J35" s="548"/>
      <c r="K35" s="203">
        <v>3.4300000000000004E-2</v>
      </c>
      <c r="L35" s="210">
        <v>1.9295E-2</v>
      </c>
      <c r="M35" s="203">
        <v>6.9999999999999999E-4</v>
      </c>
      <c r="N35" s="548"/>
      <c r="O35" s="203">
        <v>3.4300000000000004E-2</v>
      </c>
      <c r="P35" s="210">
        <v>3.1008999999999998E-2</v>
      </c>
      <c r="Q35" s="203">
        <v>1.1000000000000001E-3</v>
      </c>
      <c r="R35" s="548"/>
      <c r="S35" s="203">
        <v>2.63E-2</v>
      </c>
    </row>
    <row r="36" spans="1:19" ht="15.75" customHeight="1">
      <c r="A36" s="1160" t="s">
        <v>805</v>
      </c>
      <c r="B36" s="208">
        <v>395</v>
      </c>
      <c r="C36" s="203">
        <v>3.5000000000000003E-2</v>
      </c>
      <c r="D36" s="210">
        <v>0.523756</v>
      </c>
      <c r="E36" s="203">
        <v>1.83E-2</v>
      </c>
      <c r="F36" s="548"/>
      <c r="G36" s="203">
        <v>4.0099999999999997E-2</v>
      </c>
      <c r="H36" s="210">
        <v>0.42593999999999999</v>
      </c>
      <c r="I36" s="203">
        <v>1.7100000000000001E-2</v>
      </c>
      <c r="J36" s="548"/>
      <c r="K36" s="203">
        <v>3.4300000000000004E-2</v>
      </c>
      <c r="L36" s="210">
        <v>1.9295E-2</v>
      </c>
      <c r="M36" s="203">
        <v>6.9999999999999999E-4</v>
      </c>
      <c r="N36" s="548"/>
      <c r="O36" s="203">
        <v>3.4300000000000004E-2</v>
      </c>
      <c r="P36" s="210">
        <v>3.1008999999999998E-2</v>
      </c>
      <c r="Q36" s="203">
        <v>1.1000000000000001E-3</v>
      </c>
      <c r="R36" s="548"/>
      <c r="S36" s="203">
        <v>3.7199999999999997E-2</v>
      </c>
    </row>
    <row r="37" spans="1:19" ht="15.75" customHeight="1">
      <c r="A37" s="1160" t="s">
        <v>927</v>
      </c>
      <c r="B37" s="208">
        <v>396</v>
      </c>
      <c r="C37" s="203">
        <v>4.1599999999999998E-2</v>
      </c>
      <c r="D37" s="210">
        <v>0.523756</v>
      </c>
      <c r="E37" s="203">
        <v>2.18E-2</v>
      </c>
      <c r="F37" s="548"/>
      <c r="G37" s="203">
        <v>3.9E-2</v>
      </c>
      <c r="H37" s="210">
        <v>0.42593999999999999</v>
      </c>
      <c r="I37" s="203">
        <v>1.66E-2</v>
      </c>
      <c r="J37" s="548"/>
      <c r="K37" s="203">
        <v>3.4300000000000004E-2</v>
      </c>
      <c r="L37" s="210">
        <v>1.9295E-2</v>
      </c>
      <c r="M37" s="203">
        <v>6.9999999999999999E-4</v>
      </c>
      <c r="N37" s="548"/>
      <c r="O37" s="203">
        <v>3.4300000000000004E-2</v>
      </c>
      <c r="P37" s="210">
        <v>3.1008999999999998E-2</v>
      </c>
      <c r="Q37" s="203">
        <v>1.1000000000000001E-3</v>
      </c>
      <c r="R37" s="548"/>
      <c r="S37" s="203">
        <v>4.02E-2</v>
      </c>
    </row>
    <row r="38" spans="1:19" ht="15">
      <c r="A38" s="1160" t="s">
        <v>806</v>
      </c>
      <c r="B38" s="208">
        <v>397</v>
      </c>
      <c r="C38" s="203">
        <v>5.0200000000000002E-2</v>
      </c>
      <c r="D38" s="210">
        <v>0.523756</v>
      </c>
      <c r="E38" s="203">
        <v>2.63E-2</v>
      </c>
      <c r="F38" s="548"/>
      <c r="G38" s="203">
        <v>4.9799999999999997E-2</v>
      </c>
      <c r="H38" s="210">
        <v>0.42593999999999999</v>
      </c>
      <c r="I38" s="203">
        <v>2.12E-2</v>
      </c>
      <c r="J38" s="548"/>
      <c r="K38" s="203">
        <v>3.4300000000000004E-2</v>
      </c>
      <c r="L38" s="210">
        <v>1.9295E-2</v>
      </c>
      <c r="M38" s="203">
        <v>6.9999999999999999E-4</v>
      </c>
      <c r="N38" s="548"/>
      <c r="O38" s="203">
        <v>3.4300000000000004E-2</v>
      </c>
      <c r="P38" s="210">
        <v>3.1008999999999998E-2</v>
      </c>
      <c r="Q38" s="203">
        <v>1.1000000000000001E-3</v>
      </c>
      <c r="R38" s="548"/>
      <c r="S38" s="203">
        <v>4.9299999999999997E-2</v>
      </c>
    </row>
    <row r="39" spans="1:19" ht="15">
      <c r="A39" s="1160" t="s">
        <v>807</v>
      </c>
      <c r="B39" s="208">
        <v>398</v>
      </c>
      <c r="C39" s="203">
        <v>2.7099999999999999E-2</v>
      </c>
      <c r="D39" s="210">
        <v>0.523756</v>
      </c>
      <c r="E39" s="203">
        <v>1.4200000000000001E-2</v>
      </c>
      <c r="F39" s="548"/>
      <c r="G39" s="203">
        <v>2.7E-2</v>
      </c>
      <c r="H39" s="210">
        <v>0.42593999999999999</v>
      </c>
      <c r="I39" s="203">
        <v>1.15E-2</v>
      </c>
      <c r="J39" s="548"/>
      <c r="K39" s="203">
        <v>3.4300000000000004E-2</v>
      </c>
      <c r="L39" s="210">
        <v>1.9295E-2</v>
      </c>
      <c r="M39" s="203">
        <v>6.9999999999999999E-4</v>
      </c>
      <c r="N39" s="548"/>
      <c r="O39" s="203">
        <v>3.4300000000000004E-2</v>
      </c>
      <c r="P39" s="210">
        <v>3.1008999999999998E-2</v>
      </c>
      <c r="Q39" s="203">
        <v>1.1000000000000001E-3</v>
      </c>
      <c r="R39" s="548"/>
      <c r="S39" s="203">
        <v>2.75E-2</v>
      </c>
    </row>
    <row r="40" spans="1:19" ht="15.75" thickBot="1">
      <c r="A40" s="988"/>
      <c r="B40" s="989"/>
      <c r="C40" s="990"/>
      <c r="D40" s="991"/>
      <c r="E40" s="992"/>
      <c r="F40" s="989"/>
      <c r="G40" s="992"/>
      <c r="H40" s="991"/>
      <c r="I40" s="992"/>
      <c r="J40" s="989"/>
      <c r="K40" s="990"/>
      <c r="L40" s="991"/>
      <c r="M40" s="992"/>
      <c r="N40" s="989"/>
      <c r="O40" s="990"/>
      <c r="P40" s="991"/>
      <c r="Q40" s="992"/>
      <c r="R40" s="989"/>
      <c r="S40" s="992"/>
    </row>
    <row r="41" spans="1:19" ht="15">
      <c r="A41" s="546"/>
      <c r="B41" s="548"/>
      <c r="C41" s="203"/>
      <c r="D41" s="546"/>
      <c r="E41" s="546"/>
      <c r="F41" s="546"/>
      <c r="G41" s="209"/>
      <c r="H41" s="546"/>
      <c r="I41" s="546"/>
      <c r="J41" s="546"/>
      <c r="K41" s="546"/>
      <c r="L41" s="546"/>
      <c r="M41" s="546"/>
      <c r="N41" s="546"/>
      <c r="O41" s="546"/>
      <c r="P41" s="546"/>
      <c r="Q41" s="546"/>
      <c r="R41" s="546"/>
      <c r="S41" s="546"/>
    </row>
    <row r="42" spans="1:19" ht="15" customHeight="1">
      <c r="A42" s="1332" t="s">
        <v>1152</v>
      </c>
      <c r="B42" s="1332"/>
      <c r="C42" s="1332"/>
      <c r="D42" s="1332"/>
      <c r="F42" s="1163" t="s">
        <v>123</v>
      </c>
      <c r="G42" s="1164" t="s">
        <v>1013</v>
      </c>
      <c r="H42" s="1065"/>
      <c r="L42" s="1165" t="s">
        <v>607</v>
      </c>
      <c r="M42" t="s">
        <v>1153</v>
      </c>
    </row>
    <row r="43" spans="1:19">
      <c r="A43" s="1332"/>
      <c r="B43" s="1332"/>
      <c r="C43" s="1332"/>
      <c r="D43" s="1332"/>
      <c r="F43" s="1166"/>
      <c r="G43" s="1164"/>
      <c r="H43" s="1065"/>
      <c r="M43" t="s">
        <v>1154</v>
      </c>
    </row>
    <row r="44" spans="1:19" ht="15" customHeight="1">
      <c r="A44" s="1332"/>
      <c r="B44" s="1332"/>
      <c r="C44" s="1332"/>
      <c r="D44" s="1332"/>
      <c r="F44" s="1165" t="s">
        <v>606</v>
      </c>
      <c r="G44" s="1164" t="s">
        <v>1014</v>
      </c>
      <c r="M44" t="s">
        <v>608</v>
      </c>
    </row>
    <row r="45" spans="1:19">
      <c r="A45" s="1332"/>
      <c r="B45" s="1332"/>
      <c r="C45" s="1332"/>
      <c r="D45" s="1332"/>
      <c r="F45" s="1166"/>
      <c r="G45" s="1164"/>
      <c r="H45" s="1065"/>
    </row>
    <row r="46" spans="1:19" ht="15.75" customHeight="1">
      <c r="A46" t="s">
        <v>1155</v>
      </c>
      <c r="B46" s="1167"/>
      <c r="C46" s="1168"/>
      <c r="D46" s="1167"/>
      <c r="E46" s="1167"/>
      <c r="F46" s="1165"/>
      <c r="H46" s="1065"/>
      <c r="L46" s="1165" t="s">
        <v>609</v>
      </c>
      <c r="M46" t="s">
        <v>1017</v>
      </c>
    </row>
    <row r="47" spans="1:19" ht="15.75" customHeight="1">
      <c r="B47" s="1167"/>
      <c r="C47" s="1168"/>
      <c r="D47" s="1169"/>
      <c r="E47" s="1169"/>
      <c r="F47" s="1170"/>
      <c r="M47" t="s">
        <v>1018</v>
      </c>
    </row>
    <row r="48" spans="1:19" ht="15.75" customHeight="1">
      <c r="A48" t="s">
        <v>1015</v>
      </c>
      <c r="B48" s="1167"/>
      <c r="C48" s="1168"/>
      <c r="D48" s="1167"/>
      <c r="E48" s="1167"/>
      <c r="G48" s="1164"/>
      <c r="O48" s="1171"/>
    </row>
    <row r="49" spans="1:19" ht="15.75">
      <c r="A49" t="s">
        <v>1016</v>
      </c>
      <c r="B49" s="1167"/>
      <c r="C49" s="1168"/>
      <c r="D49" s="1167"/>
      <c r="E49" s="1167"/>
      <c r="G49" s="1164"/>
      <c r="L49" s="1165" t="s">
        <v>1156</v>
      </c>
      <c r="M49" s="1297" t="s">
        <v>1157</v>
      </c>
      <c r="N49" s="1297"/>
      <c r="O49" s="1297"/>
      <c r="P49" s="1297"/>
      <c r="Q49" s="1297"/>
      <c r="R49" s="1297"/>
      <c r="S49" s="1297"/>
    </row>
    <row r="50" spans="1:19" ht="15.75" customHeight="1">
      <c r="B50" s="1167"/>
      <c r="C50" s="1168"/>
      <c r="D50" s="1169"/>
      <c r="E50" s="1169"/>
      <c r="G50" s="1164"/>
      <c r="M50" s="1297"/>
      <c r="N50" s="1297"/>
      <c r="O50" s="1297"/>
      <c r="P50" s="1297"/>
      <c r="Q50" s="1297"/>
      <c r="R50" s="1297"/>
      <c r="S50" s="1297"/>
    </row>
    <row r="51" spans="1:19">
      <c r="B51" s="1172"/>
      <c r="C51" s="1173"/>
      <c r="G51" s="1164"/>
      <c r="M51" s="1297"/>
      <c r="N51" s="1297"/>
      <c r="O51" s="1297"/>
      <c r="P51" s="1297"/>
      <c r="Q51" s="1297"/>
      <c r="R51" s="1297"/>
      <c r="S51" s="1297"/>
    </row>
    <row r="52" spans="1:19" ht="15">
      <c r="A52" s="559" t="s">
        <v>29</v>
      </c>
      <c r="B52" s="560"/>
      <c r="C52" s="560"/>
      <c r="D52" s="561"/>
      <c r="E52" s="546"/>
      <c r="F52" s="546"/>
      <c r="G52" s="209"/>
      <c r="H52" s="546"/>
      <c r="I52" s="546"/>
      <c r="J52" s="546"/>
      <c r="K52" s="546"/>
      <c r="L52" s="546"/>
      <c r="M52" s="546"/>
      <c r="N52" s="546"/>
      <c r="O52" s="558"/>
      <c r="P52" s="546"/>
      <c r="Q52" s="546"/>
      <c r="R52" s="546"/>
      <c r="S52" s="546"/>
    </row>
    <row r="53" spans="1:19" ht="15">
      <c r="A53" s="1333" t="s">
        <v>610</v>
      </c>
      <c r="B53" s="1334"/>
      <c r="C53" s="1334"/>
      <c r="D53" s="1334"/>
      <c r="E53" s="1334"/>
      <c r="F53" s="1334"/>
      <c r="G53" s="1334"/>
      <c r="H53" s="1334"/>
      <c r="I53" s="1334"/>
      <c r="J53" s="1334"/>
      <c r="K53" s="1334"/>
      <c r="L53" s="1334"/>
      <c r="M53" s="1334"/>
      <c r="N53" s="1334"/>
      <c r="O53" s="546"/>
      <c r="P53" s="546"/>
      <c r="Q53" s="546"/>
      <c r="R53" s="546"/>
      <c r="S53" s="546"/>
    </row>
    <row r="54" spans="1:19" ht="15">
      <c r="A54" s="1334"/>
      <c r="B54" s="1334"/>
      <c r="C54" s="1334"/>
      <c r="D54" s="1334"/>
      <c r="E54" s="1334"/>
      <c r="F54" s="1334"/>
      <c r="G54" s="1334"/>
      <c r="H54" s="1334"/>
      <c r="I54" s="1334"/>
      <c r="J54" s="1334"/>
      <c r="K54" s="1334"/>
      <c r="L54" s="1334"/>
      <c r="M54" s="1334"/>
      <c r="N54" s="1334"/>
      <c r="O54" s="546"/>
      <c r="P54" s="546"/>
      <c r="Q54" s="546"/>
      <c r="R54" s="546"/>
      <c r="S54" s="546"/>
    </row>
    <row r="55" spans="1:19" ht="15">
      <c r="A55" s="1231" t="s">
        <v>816</v>
      </c>
      <c r="B55" s="1231"/>
      <c r="C55" s="1231"/>
      <c r="D55" s="1231"/>
      <c r="E55" s="1231"/>
      <c r="F55" s="1231"/>
      <c r="G55" s="1231"/>
      <c r="H55" s="1231"/>
      <c r="I55" s="1231"/>
      <c r="J55" s="1231"/>
      <c r="K55" s="1231"/>
      <c r="L55" s="1231"/>
      <c r="M55" s="1231"/>
      <c r="N55" s="1231"/>
      <c r="O55" s="546"/>
      <c r="P55" s="546"/>
      <c r="Q55" s="546"/>
      <c r="R55" s="546"/>
      <c r="S55" s="546"/>
    </row>
    <row r="56" spans="1:19" ht="15">
      <c r="A56" s="1231"/>
      <c r="B56" s="1231"/>
      <c r="C56" s="1231"/>
      <c r="D56" s="1231"/>
      <c r="E56" s="1231"/>
      <c r="F56" s="1231"/>
      <c r="G56" s="1231"/>
      <c r="H56" s="1231"/>
      <c r="I56" s="1231"/>
      <c r="J56" s="1231"/>
      <c r="K56" s="1231"/>
      <c r="L56" s="1231"/>
      <c r="M56" s="1231"/>
      <c r="N56" s="1231"/>
      <c r="O56" s="546"/>
      <c r="P56" s="546"/>
      <c r="Q56" s="546"/>
      <c r="R56" s="546"/>
      <c r="S56" s="546"/>
    </row>
  </sheetData>
  <mergeCells count="16">
    <mergeCell ref="A8:O8"/>
    <mergeCell ref="A3:O3"/>
    <mergeCell ref="A6:O6"/>
    <mergeCell ref="A7:O7"/>
    <mergeCell ref="A4:O4"/>
    <mergeCell ref="A5:O5"/>
    <mergeCell ref="A42:D45"/>
    <mergeCell ref="M49:S51"/>
    <mergeCell ref="A55:N56"/>
    <mergeCell ref="A53:N54"/>
    <mergeCell ref="A9:O9"/>
    <mergeCell ref="A10:O10"/>
    <mergeCell ref="C12:E12"/>
    <mergeCell ref="G12:I12"/>
    <mergeCell ref="K12:M12"/>
    <mergeCell ref="O12:Q12"/>
  </mergeCells>
  <phoneticPr fontId="8" type="noConversion"/>
  <conditionalFormatting sqref="A3 A4:S9 A10 P10:S10">
    <cfRule type="cellIs" dxfId="15" priority="61" stopIfTrue="1" operator="lessThan">
      <formula>0</formula>
    </cfRule>
  </conditionalFormatting>
  <conditionalFormatting sqref="A53">
    <cfRule type="cellIs" dxfId="14" priority="59" stopIfTrue="1" operator="lessThan">
      <formula>0</formula>
    </cfRule>
  </conditionalFormatting>
  <conditionalFormatting sqref="A46:G46 M46:N50 A47:F49 A50:E51">
    <cfRule type="cellIs" dxfId="13" priority="10" stopIfTrue="1" operator="lessThan">
      <formula>0</formula>
    </cfRule>
  </conditionalFormatting>
  <conditionalFormatting sqref="A42:N45 O42:S56">
    <cfRule type="cellIs" dxfId="12" priority="12" stopIfTrue="1" operator="lessThan">
      <formula>0</formula>
    </cfRule>
  </conditionalFormatting>
  <conditionalFormatting sqref="A52:N52">
    <cfRule type="cellIs" dxfId="11" priority="60" stopIfTrue="1" operator="lessThan">
      <formula>0</formula>
    </cfRule>
  </conditionalFormatting>
  <conditionalFormatting sqref="A12:S41">
    <cfRule type="cellIs" dxfId="10" priority="1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9">
      <colorScale>
        <cfvo type="min"/>
        <cfvo type="percentile" val="50"/>
        <cfvo type="max"/>
        <color rgb="FF5A8AC6"/>
        <color rgb="FFFCFCFF"/>
        <color rgb="FFF8696B"/>
      </colorScale>
    </cfRule>
  </conditionalFormatting>
  <conditionalFormatting sqref="G47">
    <cfRule type="colorScale" priority="7">
      <colorScale>
        <cfvo type="min"/>
        <cfvo type="percentile" val="50"/>
        <cfvo type="max"/>
        <color rgb="FF5A8AC6"/>
        <color rgb="FFFCFCFF"/>
        <color rgb="FFF8696B"/>
      </colorScale>
    </cfRule>
    <cfRule type="cellIs" dxfId="8" priority="8" stopIfTrue="1" operator="lessThan">
      <formula>0</formula>
    </cfRule>
  </conditionalFormatting>
  <conditionalFormatting sqref="G48">
    <cfRule type="colorScale" priority="5">
      <colorScale>
        <cfvo type="min"/>
        <cfvo type="percentile" val="50"/>
        <cfvo type="max"/>
        <color rgb="FF5A8AC6"/>
        <color rgb="FFFCFCFF"/>
        <color rgb="FFF8696B"/>
      </colorScale>
    </cfRule>
    <cfRule type="cellIs" dxfId="7" priority="6" stopIfTrue="1" operator="lessThan">
      <formula>0</formula>
    </cfRule>
  </conditionalFormatting>
  <conditionalFormatting sqref="G49">
    <cfRule type="colorScale" priority="3">
      <colorScale>
        <cfvo type="min"/>
        <cfvo type="percentile" val="50"/>
        <cfvo type="max"/>
        <color rgb="FF5A8AC6"/>
        <color rgb="FFFCFCFF"/>
        <color rgb="FFF8696B"/>
      </colorScale>
    </cfRule>
    <cfRule type="cellIs" dxfId="6" priority="4"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cfRule type="cellIs" dxfId="5" priority="11"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59"/>
  <sheetViews>
    <sheetView tabSelected="1" view="pageBreakPreview" zoomScale="60" zoomScaleNormal="70" workbookViewId="0">
      <selection activeCell="D3" sqref="D3"/>
    </sheetView>
  </sheetViews>
  <sheetFormatPr defaultColWidth="9.140625" defaultRowHeight="12.75"/>
  <cols>
    <col min="1" max="1" width="34.28515625" style="1062" customWidth="1"/>
    <col min="2" max="2" width="9.140625" style="1062"/>
    <col min="3" max="3" width="11.85546875" style="1062" customWidth="1"/>
    <col min="4" max="4" width="18.28515625" style="1062" customWidth="1"/>
    <col min="5" max="5" width="12.5703125" style="1062" customWidth="1"/>
    <col min="6" max="6" width="9.140625" style="1062"/>
    <col min="7" max="7" width="12.140625" style="1062" customWidth="1"/>
    <col min="8" max="8" width="18.85546875" style="1062" customWidth="1"/>
    <col min="9" max="9" width="15.5703125" style="1062" bestFit="1" customWidth="1"/>
    <col min="10" max="16384" width="9.140625" style="1062"/>
  </cols>
  <sheetData>
    <row r="1" spans="1:11" s="546" customFormat="1" ht="15.75">
      <c r="A1" s="651" t="s">
        <v>114</v>
      </c>
      <c r="G1" s="209"/>
    </row>
    <row r="2" spans="1:11" s="546" customFormat="1" ht="15.75">
      <c r="A2" s="651" t="s">
        <v>114</v>
      </c>
      <c r="G2" s="209"/>
    </row>
    <row r="3" spans="1:11" ht="19.5">
      <c r="A3" s="1336" t="s">
        <v>391</v>
      </c>
      <c r="B3" s="1336"/>
      <c r="C3" s="1336"/>
      <c r="D3" s="1336"/>
      <c r="E3" s="1336"/>
      <c r="F3" s="1336"/>
      <c r="G3" s="1336"/>
      <c r="H3" s="1336"/>
      <c r="I3" s="1336"/>
      <c r="J3" s="1336"/>
      <c r="K3" s="1336"/>
    </row>
    <row r="4" spans="1:11" ht="19.5">
      <c r="A4" s="1336" t="s">
        <v>392</v>
      </c>
      <c r="B4" s="1336"/>
      <c r="C4" s="1336"/>
      <c r="D4" s="1336"/>
      <c r="E4" s="1336"/>
      <c r="F4" s="1336"/>
      <c r="G4" s="1336"/>
      <c r="H4" s="1336"/>
      <c r="I4" s="1336"/>
      <c r="J4" s="1336"/>
      <c r="K4" s="1336"/>
    </row>
    <row r="5" spans="1:11" ht="19.5">
      <c r="A5" s="1336" t="s">
        <v>393</v>
      </c>
      <c r="B5" s="1336"/>
      <c r="C5" s="1336"/>
      <c r="D5" s="1336"/>
      <c r="E5" s="1336"/>
      <c r="F5" s="1336"/>
      <c r="G5" s="1336"/>
      <c r="H5" s="1336"/>
      <c r="I5" s="1336"/>
      <c r="J5" s="1336"/>
      <c r="K5" s="1336"/>
    </row>
    <row r="6" spans="1:11" ht="19.5">
      <c r="A6" s="1336" t="s">
        <v>394</v>
      </c>
      <c r="B6" s="1336"/>
      <c r="C6" s="1336"/>
      <c r="D6" s="1336"/>
      <c r="E6" s="1336"/>
      <c r="F6" s="1336"/>
      <c r="G6" s="1336"/>
      <c r="H6" s="1336"/>
      <c r="I6" s="1336"/>
      <c r="J6" s="1336"/>
      <c r="K6" s="1336"/>
    </row>
    <row r="7" spans="1:11" ht="19.5">
      <c r="A7" s="1336" t="s">
        <v>1026</v>
      </c>
      <c r="B7" s="1336"/>
      <c r="C7" s="1336"/>
      <c r="D7" s="1336"/>
      <c r="E7" s="1336"/>
      <c r="F7" s="1336"/>
      <c r="G7" s="1336"/>
      <c r="H7" s="1336"/>
      <c r="I7" s="1336"/>
      <c r="J7" s="1336"/>
      <c r="K7" s="1336"/>
    </row>
    <row r="8" spans="1:11" ht="19.5">
      <c r="A8" s="1336" t="s">
        <v>395</v>
      </c>
      <c r="B8" s="1336"/>
      <c r="C8" s="1336"/>
      <c r="D8" s="1336"/>
      <c r="E8" s="1336"/>
      <c r="F8" s="1336"/>
      <c r="G8" s="1336"/>
      <c r="H8" s="1336"/>
      <c r="I8" s="1336"/>
      <c r="J8" s="1336"/>
      <c r="K8" s="1336"/>
    </row>
    <row r="9" spans="1:11" ht="19.5">
      <c r="A9" s="1336" t="s">
        <v>763</v>
      </c>
      <c r="B9" s="1336"/>
      <c r="C9" s="1336"/>
      <c r="D9" s="1336"/>
      <c r="E9" s="1336"/>
      <c r="F9" s="1336"/>
      <c r="G9" s="1336"/>
      <c r="H9" s="1336"/>
      <c r="I9" s="1336"/>
      <c r="J9" s="1336"/>
      <c r="K9" s="1336"/>
    </row>
    <row r="10" spans="1:11" ht="19.5">
      <c r="A10" s="1340"/>
      <c r="B10" s="1340"/>
      <c r="C10" s="1340"/>
      <c r="D10" s="1340"/>
      <c r="E10" s="1340"/>
      <c r="F10" s="1340"/>
      <c r="G10" s="1340"/>
      <c r="H10" s="1340"/>
      <c r="I10" s="1340"/>
      <c r="J10" s="1340"/>
      <c r="K10" s="1340"/>
    </row>
    <row r="11" spans="1:11" ht="16.5" thickBot="1">
      <c r="A11" s="841"/>
      <c r="B11" s="841"/>
      <c r="C11" s="1338" t="s">
        <v>764</v>
      </c>
      <c r="D11" s="1338"/>
      <c r="E11" s="1338"/>
      <c r="F11" s="841"/>
      <c r="G11" s="1338" t="s">
        <v>1019</v>
      </c>
      <c r="H11" s="1338"/>
      <c r="I11" s="1338"/>
      <c r="J11" s="841"/>
      <c r="K11" s="982" t="s">
        <v>397</v>
      </c>
    </row>
    <row r="12" spans="1:11" ht="15.75">
      <c r="A12" s="842"/>
      <c r="B12" s="841"/>
      <c r="C12" s="549" t="s">
        <v>121</v>
      </c>
      <c r="D12" s="843"/>
      <c r="E12" s="843"/>
      <c r="F12" s="843"/>
      <c r="G12" s="551" t="s">
        <v>122</v>
      </c>
      <c r="H12" s="552"/>
      <c r="I12" s="552"/>
      <c r="J12" s="552"/>
      <c r="K12" s="552"/>
    </row>
    <row r="13" spans="1:11" ht="15">
      <c r="A13" s="841"/>
      <c r="B13" s="841"/>
      <c r="C13" s="549" t="s">
        <v>114</v>
      </c>
      <c r="D13" s="843"/>
      <c r="E13" s="549" t="s">
        <v>398</v>
      </c>
      <c r="F13" s="843"/>
      <c r="G13" s="551" t="s">
        <v>765</v>
      </c>
      <c r="H13" s="843"/>
      <c r="I13" s="549" t="s">
        <v>398</v>
      </c>
      <c r="J13" s="843"/>
      <c r="K13" s="549" t="s">
        <v>398</v>
      </c>
    </row>
    <row r="14" spans="1:11" ht="15">
      <c r="A14" s="841"/>
      <c r="B14" s="549" t="s">
        <v>399</v>
      </c>
      <c r="C14" s="549" t="s">
        <v>766</v>
      </c>
      <c r="D14" s="549" t="s">
        <v>400</v>
      </c>
      <c r="E14" s="549" t="s">
        <v>401</v>
      </c>
      <c r="F14" s="843"/>
      <c r="G14" s="551" t="s">
        <v>402</v>
      </c>
      <c r="H14" s="549" t="s">
        <v>400</v>
      </c>
      <c r="I14" s="549" t="s">
        <v>401</v>
      </c>
      <c r="J14" s="843"/>
      <c r="K14" s="549" t="s">
        <v>401</v>
      </c>
    </row>
    <row r="15" spans="1:11" ht="15">
      <c r="A15" s="549"/>
      <c r="B15" s="549" t="s">
        <v>403</v>
      </c>
      <c r="C15" s="549" t="s">
        <v>404</v>
      </c>
      <c r="D15" s="549" t="s">
        <v>767</v>
      </c>
      <c r="E15" s="549" t="s">
        <v>405</v>
      </c>
      <c r="F15" s="843"/>
      <c r="G15" s="551" t="s">
        <v>404</v>
      </c>
      <c r="H15" s="549" t="s">
        <v>767</v>
      </c>
      <c r="I15" s="549" t="s">
        <v>405</v>
      </c>
      <c r="J15" s="843"/>
      <c r="K15" s="549" t="s">
        <v>405</v>
      </c>
    </row>
    <row r="16" spans="1:11" ht="15">
      <c r="A16" s="546"/>
      <c r="B16" s="546"/>
      <c r="C16" s="546"/>
      <c r="D16" s="546"/>
      <c r="E16" s="546"/>
      <c r="F16" s="546"/>
      <c r="G16" s="209"/>
      <c r="H16" s="546"/>
      <c r="I16" s="546"/>
      <c r="J16" s="546"/>
      <c r="K16" s="546"/>
    </row>
    <row r="17" spans="1:11" ht="15.75" thickBot="1">
      <c r="A17" s="844"/>
      <c r="B17" s="841"/>
      <c r="C17" s="203"/>
      <c r="D17" s="841"/>
      <c r="E17" s="841"/>
      <c r="F17" s="841"/>
      <c r="G17" s="845"/>
      <c r="H17" s="841"/>
      <c r="I17" s="841"/>
      <c r="J17" s="841"/>
      <c r="K17" s="841"/>
    </row>
    <row r="18" spans="1:11" ht="15">
      <c r="A18" s="556" t="s">
        <v>406</v>
      </c>
      <c r="B18" s="846"/>
      <c r="C18" s="204"/>
      <c r="D18" s="205"/>
      <c r="E18" s="206"/>
      <c r="F18" s="846"/>
      <c r="G18" s="206"/>
      <c r="H18" s="207"/>
      <c r="I18" s="206"/>
      <c r="J18" s="846"/>
      <c r="K18" s="206"/>
    </row>
    <row r="19" spans="1:11" ht="15">
      <c r="A19" s="546" t="s">
        <v>768</v>
      </c>
      <c r="B19" s="208">
        <v>350.1</v>
      </c>
      <c r="C19" s="209">
        <v>1.66E-2</v>
      </c>
      <c r="D19" s="210">
        <v>0.66233529999999996</v>
      </c>
      <c r="E19" s="209">
        <f t="shared" ref="E19:E27" si="0">ROUND((C19*D19),6)</f>
        <v>1.0995E-2</v>
      </c>
      <c r="F19" s="841"/>
      <c r="G19" s="209">
        <v>1.6199999999999999E-2</v>
      </c>
      <c r="H19" s="210">
        <v>0.33766470000000004</v>
      </c>
      <c r="I19" s="209">
        <f t="shared" ref="I19:I27" si="1">ROUND((G19*H19),6)</f>
        <v>5.47E-3</v>
      </c>
      <c r="J19" s="841"/>
      <c r="K19" s="203">
        <f>ROUND(E19+I19,4)</f>
        <v>1.6500000000000001E-2</v>
      </c>
    </row>
    <row r="20" spans="1:11" ht="15">
      <c r="A20" s="546" t="s">
        <v>407</v>
      </c>
      <c r="B20" s="208">
        <v>352</v>
      </c>
      <c r="C20" s="209">
        <v>1.77E-2</v>
      </c>
      <c r="D20" s="210">
        <v>0.66233529999999996</v>
      </c>
      <c r="E20" s="209">
        <f t="shared" si="0"/>
        <v>1.1723000000000001E-2</v>
      </c>
      <c r="F20" s="841"/>
      <c r="G20" s="209">
        <v>1.7399999999999999E-2</v>
      </c>
      <c r="H20" s="210">
        <v>0.33766470000000004</v>
      </c>
      <c r="I20" s="209">
        <f t="shared" si="1"/>
        <v>5.875E-3</v>
      </c>
      <c r="J20" s="841"/>
      <c r="K20" s="203">
        <f t="shared" ref="K20:K27" si="2">ROUND(E20+I20,4)</f>
        <v>1.7600000000000001E-2</v>
      </c>
    </row>
    <row r="21" spans="1:11" ht="15">
      <c r="A21" s="546" t="s">
        <v>408</v>
      </c>
      <c r="B21" s="208">
        <v>353</v>
      </c>
      <c r="C21" s="209">
        <v>2.4299999999999999E-2</v>
      </c>
      <c r="D21" s="210">
        <v>0.66233529999999996</v>
      </c>
      <c r="E21" s="209">
        <f t="shared" si="0"/>
        <v>1.6095000000000002E-2</v>
      </c>
      <c r="F21" s="841"/>
      <c r="G21" s="209">
        <v>2.41E-2</v>
      </c>
      <c r="H21" s="210">
        <v>0.33766470000000004</v>
      </c>
      <c r="I21" s="209">
        <f t="shared" si="1"/>
        <v>8.1379999999999994E-3</v>
      </c>
      <c r="J21" s="841"/>
      <c r="K21" s="203">
        <f t="shared" si="2"/>
        <v>2.4199999999999999E-2</v>
      </c>
    </row>
    <row r="22" spans="1:11" ht="15">
      <c r="A22" s="546" t="s">
        <v>409</v>
      </c>
      <c r="B22" s="208">
        <v>354</v>
      </c>
      <c r="C22" s="209">
        <v>2.5700000000000001E-2</v>
      </c>
      <c r="D22" s="210">
        <v>0.66233529999999996</v>
      </c>
      <c r="E22" s="209">
        <f t="shared" si="0"/>
        <v>1.7021999999999999E-2</v>
      </c>
      <c r="F22" s="841"/>
      <c r="G22" s="209">
        <v>2.4500000000000001E-2</v>
      </c>
      <c r="H22" s="210">
        <v>0.33766470000000004</v>
      </c>
      <c r="I22" s="209">
        <f t="shared" si="1"/>
        <v>8.2730000000000008E-3</v>
      </c>
      <c r="J22" s="841"/>
      <c r="K22" s="203">
        <f t="shared" si="2"/>
        <v>2.53E-2</v>
      </c>
    </row>
    <row r="23" spans="1:11" ht="15">
      <c r="A23" s="546" t="s">
        <v>410</v>
      </c>
      <c r="B23" s="208">
        <v>355</v>
      </c>
      <c r="C23" s="209">
        <v>3.1899999999999998E-2</v>
      </c>
      <c r="D23" s="210">
        <v>0.66233529999999996</v>
      </c>
      <c r="E23" s="209">
        <f t="shared" si="0"/>
        <v>2.1128000000000001E-2</v>
      </c>
      <c r="F23" s="841"/>
      <c r="G23" s="209">
        <v>3.1699999999999999E-2</v>
      </c>
      <c r="H23" s="210">
        <v>0.33766470000000004</v>
      </c>
      <c r="I23" s="209">
        <f t="shared" si="1"/>
        <v>1.0704E-2</v>
      </c>
      <c r="J23" s="841"/>
      <c r="K23" s="203">
        <f t="shared" si="2"/>
        <v>3.1800000000000002E-2</v>
      </c>
    </row>
    <row r="24" spans="1:11" ht="15">
      <c r="A24" s="546" t="s">
        <v>769</v>
      </c>
      <c r="B24" s="208">
        <v>356</v>
      </c>
      <c r="C24" s="209">
        <v>2.35E-2</v>
      </c>
      <c r="D24" s="210">
        <v>0.66233529999999996</v>
      </c>
      <c r="E24" s="209">
        <f t="shared" si="0"/>
        <v>1.5565000000000001E-2</v>
      </c>
      <c r="F24" s="841"/>
      <c r="G24" s="209">
        <v>2.2800000000000001E-2</v>
      </c>
      <c r="H24" s="210">
        <v>0.33766470000000004</v>
      </c>
      <c r="I24" s="209">
        <f t="shared" si="1"/>
        <v>7.6990000000000001E-3</v>
      </c>
      <c r="J24" s="841"/>
      <c r="K24" s="203">
        <f t="shared" si="2"/>
        <v>2.3300000000000001E-2</v>
      </c>
    </row>
    <row r="25" spans="1:11" ht="15">
      <c r="A25" s="546" t="s">
        <v>411</v>
      </c>
      <c r="B25" s="208">
        <v>357</v>
      </c>
      <c r="C25" s="209">
        <v>2.3E-2</v>
      </c>
      <c r="D25" s="210">
        <v>0.66233529999999996</v>
      </c>
      <c r="E25" s="209">
        <f t="shared" si="0"/>
        <v>1.5233999999999999E-2</v>
      </c>
      <c r="F25" s="841"/>
      <c r="G25" s="209">
        <v>2.2100000000000002E-2</v>
      </c>
      <c r="H25" s="210">
        <v>0.33766470000000004</v>
      </c>
      <c r="I25" s="209">
        <f t="shared" si="1"/>
        <v>7.4619999999999999E-3</v>
      </c>
      <c r="J25" s="841"/>
      <c r="K25" s="203">
        <f t="shared" si="2"/>
        <v>2.2700000000000001E-2</v>
      </c>
    </row>
    <row r="26" spans="1:11" ht="15">
      <c r="A26" s="546" t="s">
        <v>412</v>
      </c>
      <c r="B26" s="208">
        <v>358</v>
      </c>
      <c r="C26" s="209">
        <v>1.9300000000000001E-2</v>
      </c>
      <c r="D26" s="210">
        <v>0.66233529999999996</v>
      </c>
      <c r="E26" s="209">
        <f t="shared" si="0"/>
        <v>1.2782999999999999E-2</v>
      </c>
      <c r="F26" s="841"/>
      <c r="G26" s="209">
        <v>1.9E-2</v>
      </c>
      <c r="H26" s="210">
        <v>0.33766470000000004</v>
      </c>
      <c r="I26" s="209">
        <f t="shared" si="1"/>
        <v>6.4159999999999998E-3</v>
      </c>
      <c r="J26" s="841"/>
      <c r="K26" s="203">
        <f t="shared" si="2"/>
        <v>1.9199999999999998E-2</v>
      </c>
    </row>
    <row r="27" spans="1:11" ht="15">
      <c r="A27" s="546" t="s">
        <v>770</v>
      </c>
      <c r="B27" s="208">
        <v>359</v>
      </c>
      <c r="C27" s="209">
        <v>1.61E-2</v>
      </c>
      <c r="D27" s="210">
        <v>0.66233529999999996</v>
      </c>
      <c r="E27" s="209">
        <f t="shared" si="0"/>
        <v>1.0664E-2</v>
      </c>
      <c r="F27" s="841"/>
      <c r="G27" s="209">
        <v>1.5900000000000001E-2</v>
      </c>
      <c r="H27" s="210">
        <v>0.33766470000000004</v>
      </c>
      <c r="I27" s="209">
        <f t="shared" si="1"/>
        <v>5.3689999999999996E-3</v>
      </c>
      <c r="J27" s="841"/>
      <c r="K27" s="203">
        <f t="shared" si="2"/>
        <v>1.6E-2</v>
      </c>
    </row>
    <row r="28" spans="1:11" ht="15">
      <c r="A28" s="546"/>
      <c r="B28" s="546"/>
      <c r="C28" s="546"/>
      <c r="D28" s="546"/>
      <c r="E28" s="546"/>
      <c r="F28" s="546"/>
      <c r="G28" s="546"/>
      <c r="H28" s="546"/>
      <c r="I28" s="546"/>
      <c r="J28" s="546"/>
      <c r="K28" s="546"/>
    </row>
    <row r="29" spans="1:11" ht="15.75" thickBot="1">
      <c r="A29" s="546"/>
      <c r="B29" s="546"/>
      <c r="C29" s="546"/>
      <c r="D29" s="546"/>
      <c r="E29" s="546"/>
      <c r="F29" s="546"/>
      <c r="G29" s="546"/>
      <c r="H29" s="546"/>
      <c r="I29" s="546"/>
      <c r="J29" s="546"/>
      <c r="K29" s="546"/>
    </row>
    <row r="30" spans="1:11" ht="15">
      <c r="A30" s="983" t="s">
        <v>925</v>
      </c>
      <c r="B30" s="984"/>
      <c r="C30" s="1063"/>
      <c r="D30" s="985"/>
      <c r="E30" s="986"/>
      <c r="F30" s="984"/>
      <c r="G30" s="987"/>
      <c r="H30" s="985"/>
      <c r="I30" s="986"/>
      <c r="J30" s="984"/>
      <c r="K30" s="546"/>
    </row>
    <row r="31" spans="1:11" ht="15">
      <c r="A31" s="1064"/>
      <c r="B31" s="208">
        <v>390</v>
      </c>
      <c r="C31" s="209">
        <v>2.0799999999999999E-2</v>
      </c>
      <c r="D31" s="210">
        <v>0.68186831634107659</v>
      </c>
      <c r="E31" s="209">
        <f t="shared" ref="E31:E39" si="3">ROUND((C31*D31),6)</f>
        <v>1.4182999999999999E-2</v>
      </c>
      <c r="F31" s="841"/>
      <c r="G31" s="209">
        <v>2.0799999999999999E-2</v>
      </c>
      <c r="H31" s="210">
        <v>0.31813168365892341</v>
      </c>
      <c r="I31" s="209">
        <f t="shared" ref="I31:I39" si="4">ROUND((G31*H31),6)</f>
        <v>6.6169999999999996E-3</v>
      </c>
      <c r="J31" s="1065"/>
      <c r="K31" s="203">
        <f t="shared" ref="K31:K39" si="5">ROUND(E31+I31,4)</f>
        <v>2.0799999999999999E-2</v>
      </c>
    </row>
    <row r="32" spans="1:11" ht="15">
      <c r="A32" s="1064"/>
      <c r="B32" s="208">
        <v>391</v>
      </c>
      <c r="C32" s="209">
        <v>4.7899999999999998E-2</v>
      </c>
      <c r="D32" s="210">
        <v>0.68186831634107659</v>
      </c>
      <c r="E32" s="209">
        <f t="shared" si="3"/>
        <v>3.2661000000000003E-2</v>
      </c>
      <c r="F32" s="841"/>
      <c r="G32" s="209">
        <v>4.8399999999999999E-2</v>
      </c>
      <c r="H32" s="210">
        <v>0.31813168365892341</v>
      </c>
      <c r="I32" s="209">
        <f t="shared" si="4"/>
        <v>1.5398E-2</v>
      </c>
      <c r="J32" s="1065"/>
      <c r="K32" s="203">
        <f t="shared" si="5"/>
        <v>4.8099999999999997E-2</v>
      </c>
    </row>
    <row r="33" spans="1:11" ht="15">
      <c r="A33" s="1066" t="s">
        <v>1020</v>
      </c>
      <c r="B33" s="208">
        <v>392</v>
      </c>
      <c r="C33" s="209">
        <v>4.6399999999999997E-2</v>
      </c>
      <c r="D33" s="210">
        <v>0.68186831634107659</v>
      </c>
      <c r="E33" s="209">
        <f t="shared" si="3"/>
        <v>3.1639E-2</v>
      </c>
      <c r="F33" s="841"/>
      <c r="G33" s="209">
        <v>4.6800000000000001E-2</v>
      </c>
      <c r="H33" s="210">
        <v>0.31813168365892341</v>
      </c>
      <c r="I33" s="209">
        <f t="shared" si="4"/>
        <v>1.4888999999999999E-2</v>
      </c>
      <c r="J33" s="1065"/>
      <c r="K33" s="203">
        <f t="shared" si="5"/>
        <v>4.65E-2</v>
      </c>
    </row>
    <row r="34" spans="1:11" ht="15">
      <c r="A34" s="1064"/>
      <c r="B34" s="208">
        <v>393</v>
      </c>
      <c r="C34" s="209">
        <v>7.3499999999999996E-2</v>
      </c>
      <c r="D34" s="210">
        <v>0.68186831634107659</v>
      </c>
      <c r="E34" s="209">
        <f t="shared" si="3"/>
        <v>5.0117000000000002E-2</v>
      </c>
      <c r="F34" s="841"/>
      <c r="G34" s="209">
        <v>7.3800000000000004E-2</v>
      </c>
      <c r="H34" s="210">
        <v>0.31813168365892341</v>
      </c>
      <c r="I34" s="209">
        <f t="shared" si="4"/>
        <v>2.3477999999999999E-2</v>
      </c>
      <c r="J34" s="1065"/>
      <c r="K34" s="203">
        <f t="shared" si="5"/>
        <v>7.3599999999999999E-2</v>
      </c>
    </row>
    <row r="35" spans="1:11" ht="15">
      <c r="A35" s="1064"/>
      <c r="B35" s="208">
        <v>394</v>
      </c>
      <c r="C35" s="209">
        <v>6.9900000000000004E-2</v>
      </c>
      <c r="D35" s="210">
        <v>0.68186831634107659</v>
      </c>
      <c r="E35" s="209">
        <f t="shared" si="3"/>
        <v>4.7662999999999997E-2</v>
      </c>
      <c r="F35" s="841"/>
      <c r="G35" s="209">
        <v>7.0699999999999999E-2</v>
      </c>
      <c r="H35" s="210">
        <v>0.31813168365892341</v>
      </c>
      <c r="I35" s="209">
        <f t="shared" si="4"/>
        <v>2.2492000000000002E-2</v>
      </c>
      <c r="J35" s="1065"/>
      <c r="K35" s="203">
        <f t="shared" si="5"/>
        <v>7.0199999999999999E-2</v>
      </c>
    </row>
    <row r="36" spans="1:11" ht="15">
      <c r="A36" s="1064"/>
      <c r="B36" s="208">
        <v>395</v>
      </c>
      <c r="C36" s="209">
        <v>5.4100000000000002E-2</v>
      </c>
      <c r="D36" s="210">
        <v>0.68186831634107659</v>
      </c>
      <c r="E36" s="209">
        <f t="shared" si="3"/>
        <v>3.6888999999999998E-2</v>
      </c>
      <c r="F36" s="841"/>
      <c r="G36" s="209">
        <v>5.4600000000000003E-2</v>
      </c>
      <c r="H36" s="210">
        <v>0.31813168365892341</v>
      </c>
      <c r="I36" s="209">
        <f t="shared" si="4"/>
        <v>1.737E-2</v>
      </c>
      <c r="J36" s="1065"/>
      <c r="K36" s="203">
        <f t="shared" si="5"/>
        <v>5.4300000000000001E-2</v>
      </c>
    </row>
    <row r="37" spans="1:11" ht="15">
      <c r="A37" s="1064"/>
      <c r="B37" s="208">
        <v>396</v>
      </c>
      <c r="C37" s="209">
        <v>4.8099999999999997E-2</v>
      </c>
      <c r="D37" s="210">
        <v>0.68186831634107659</v>
      </c>
      <c r="E37" s="209">
        <f t="shared" si="3"/>
        <v>3.2798000000000001E-2</v>
      </c>
      <c r="F37" s="841"/>
      <c r="G37" s="209">
        <v>4.9000000000000002E-2</v>
      </c>
      <c r="H37" s="210">
        <v>0.31813168365892341</v>
      </c>
      <c r="I37" s="209">
        <f t="shared" si="4"/>
        <v>1.5587999999999999E-2</v>
      </c>
      <c r="J37" s="1065"/>
      <c r="K37" s="203">
        <f t="shared" si="5"/>
        <v>4.8399999999999999E-2</v>
      </c>
    </row>
    <row r="38" spans="1:11" ht="15">
      <c r="A38" s="1064"/>
      <c r="B38" s="208">
        <v>397</v>
      </c>
      <c r="C38" s="209">
        <v>3.9100000000000003E-2</v>
      </c>
      <c r="D38" s="210">
        <v>0.68186831634107659</v>
      </c>
      <c r="E38" s="209">
        <f t="shared" si="3"/>
        <v>2.6661000000000001E-2</v>
      </c>
      <c r="F38" s="841"/>
      <c r="G38" s="209">
        <v>3.9300000000000002E-2</v>
      </c>
      <c r="H38" s="210">
        <v>0.31813168365892341</v>
      </c>
      <c r="I38" s="209">
        <f t="shared" si="4"/>
        <v>1.2503E-2</v>
      </c>
      <c r="J38" s="1065"/>
      <c r="K38" s="203">
        <f t="shared" si="5"/>
        <v>3.9199999999999999E-2</v>
      </c>
    </row>
    <row r="39" spans="1:11" ht="15">
      <c r="A39" s="1064"/>
      <c r="B39" s="208">
        <v>398</v>
      </c>
      <c r="C39" s="209">
        <v>3.32E-2</v>
      </c>
      <c r="D39" s="210">
        <v>0.68186831634107659</v>
      </c>
      <c r="E39" s="209">
        <f t="shared" si="3"/>
        <v>2.2637999999999998E-2</v>
      </c>
      <c r="F39" s="841"/>
      <c r="G39" s="209">
        <v>3.3500000000000002E-2</v>
      </c>
      <c r="H39" s="210">
        <v>0.31813168365892341</v>
      </c>
      <c r="I39" s="209">
        <f t="shared" si="4"/>
        <v>1.0657E-2</v>
      </c>
      <c r="J39" s="1065"/>
      <c r="K39" s="203">
        <f t="shared" si="5"/>
        <v>3.3300000000000003E-2</v>
      </c>
    </row>
    <row r="40" spans="1:11" ht="15.75" thickBot="1">
      <c r="A40" s="988"/>
      <c r="B40" s="989"/>
      <c r="C40" s="990"/>
      <c r="D40" s="991"/>
      <c r="E40" s="992"/>
      <c r="F40" s="989"/>
      <c r="G40" s="992"/>
      <c r="H40" s="991"/>
      <c r="I40" s="992"/>
      <c r="J40" s="989"/>
      <c r="K40" s="546"/>
    </row>
    <row r="41" spans="1:11" ht="15">
      <c r="A41" s="546"/>
      <c r="B41" s="546"/>
      <c r="C41" s="546"/>
      <c r="D41" s="546"/>
      <c r="E41" s="546"/>
      <c r="F41" s="546"/>
      <c r="G41" s="546"/>
      <c r="H41" s="546"/>
      <c r="I41" s="546"/>
      <c r="J41" s="546"/>
      <c r="K41" s="546"/>
    </row>
    <row r="42" spans="1:11" ht="15">
      <c r="A42" s="546"/>
      <c r="B42" s="546"/>
      <c r="C42" s="546"/>
      <c r="D42" s="546"/>
      <c r="E42" s="546"/>
      <c r="F42" s="546"/>
      <c r="G42" s="546"/>
      <c r="H42" s="546"/>
      <c r="I42" s="546"/>
      <c r="J42" s="546"/>
      <c r="K42" s="546"/>
    </row>
    <row r="43" spans="1:11" ht="15">
      <c r="A43" s="546"/>
      <c r="B43" s="841"/>
      <c r="C43" s="203"/>
      <c r="D43" s="546"/>
      <c r="E43" s="546"/>
      <c r="F43" s="546"/>
      <c r="G43" s="209"/>
      <c r="H43" s="546"/>
      <c r="I43" s="546"/>
      <c r="J43" s="546"/>
      <c r="K43" s="546"/>
    </row>
    <row r="44" spans="1:11" ht="15.75">
      <c r="A44" s="842" t="s">
        <v>1027</v>
      </c>
      <c r="B44" s="847"/>
      <c r="C44" s="211"/>
      <c r="D44" s="847"/>
      <c r="E44" s="546"/>
      <c r="F44" s="847"/>
      <c r="G44" s="546"/>
      <c r="H44" s="841"/>
      <c r="I44" s="546"/>
      <c r="J44" s="546"/>
      <c r="K44" s="546"/>
    </row>
    <row r="45" spans="1:11" ht="15.75">
      <c r="A45" s="842" t="s">
        <v>1028</v>
      </c>
      <c r="B45" s="847"/>
      <c r="C45" s="211"/>
      <c r="D45" s="847"/>
      <c r="E45" s="847"/>
      <c r="F45" s="847"/>
      <c r="G45" s="546"/>
      <c r="H45" s="841"/>
      <c r="I45" s="546"/>
      <c r="J45" s="546"/>
      <c r="K45" s="546"/>
    </row>
    <row r="46" spans="1:11" ht="15.75">
      <c r="A46" s="842" t="s">
        <v>1029</v>
      </c>
      <c r="B46" s="847"/>
      <c r="C46" s="211"/>
      <c r="D46" s="848"/>
      <c r="E46" s="848"/>
      <c r="F46" s="848"/>
      <c r="G46" s="546"/>
      <c r="H46" s="546"/>
      <c r="I46" s="546"/>
      <c r="J46" s="546"/>
      <c r="K46" s="546"/>
    </row>
    <row r="47" spans="1:11" ht="15">
      <c r="A47" s="1341" t="s">
        <v>771</v>
      </c>
      <c r="B47" s="1342"/>
      <c r="C47" s="1342"/>
      <c r="D47" s="1342"/>
      <c r="E47" s="1342"/>
      <c r="F47" s="1342"/>
      <c r="G47" s="1342"/>
      <c r="H47" s="1342"/>
      <c r="I47" s="1342"/>
      <c r="J47" s="1342"/>
      <c r="K47" s="546"/>
    </row>
    <row r="48" spans="1:11" ht="15">
      <c r="A48" s="1342"/>
      <c r="B48" s="1342"/>
      <c r="C48" s="1342"/>
      <c r="D48" s="1342"/>
      <c r="E48" s="1342"/>
      <c r="F48" s="1342"/>
      <c r="G48" s="1342"/>
      <c r="H48" s="1342"/>
      <c r="I48" s="1342"/>
      <c r="J48" s="1342"/>
      <c r="K48" s="546"/>
    </row>
    <row r="49" spans="1:11" ht="20.25" customHeight="1">
      <c r="A49" s="1342"/>
      <c r="B49" s="1342"/>
      <c r="C49" s="1342"/>
      <c r="D49" s="1342"/>
      <c r="E49" s="1342"/>
      <c r="F49" s="1342"/>
      <c r="G49" s="1342"/>
      <c r="H49" s="1342"/>
      <c r="I49" s="1342"/>
      <c r="J49" s="1342"/>
      <c r="K49" s="546"/>
    </row>
    <row r="50" spans="1:11" ht="15.75">
      <c r="A50" s="546"/>
      <c r="B50" s="847"/>
      <c r="C50" s="211"/>
      <c r="D50" s="848"/>
      <c r="E50" s="848"/>
      <c r="F50" s="848"/>
      <c r="G50" s="209"/>
      <c r="H50" s="546"/>
      <c r="I50" s="546"/>
      <c r="J50" s="546"/>
      <c r="K50" s="546"/>
    </row>
    <row r="51" spans="1:11" ht="15.75">
      <c r="A51" s="849" t="s">
        <v>413</v>
      </c>
      <c r="B51" s="841"/>
      <c r="C51" s="203"/>
      <c r="D51" s="546"/>
      <c r="E51" s="546"/>
      <c r="F51" s="546"/>
      <c r="G51" s="209"/>
      <c r="H51" s="546"/>
      <c r="I51" s="546"/>
      <c r="J51" s="546"/>
      <c r="K51" s="546"/>
    </row>
    <row r="52" spans="1:11" ht="15">
      <c r="A52" s="1067" t="s">
        <v>29</v>
      </c>
      <c r="B52" s="1068"/>
      <c r="C52" s="1068"/>
      <c r="D52" s="1069"/>
      <c r="E52" s="546"/>
      <c r="F52" s="546"/>
      <c r="G52" s="209"/>
      <c r="H52" s="546"/>
      <c r="I52" s="546"/>
      <c r="J52" s="546"/>
      <c r="K52" s="546"/>
    </row>
    <row r="53" spans="1:11" ht="15">
      <c r="A53" s="1343" t="s">
        <v>772</v>
      </c>
      <c r="B53" s="1343"/>
      <c r="C53" s="1343"/>
      <c r="D53" s="1343"/>
      <c r="E53" s="1343"/>
      <c r="F53" s="1343"/>
      <c r="G53" s="1343"/>
      <c r="H53" s="1343"/>
      <c r="I53" s="1343"/>
      <c r="J53" s="1343"/>
      <c r="K53" s="546"/>
    </row>
    <row r="54" spans="1:11" ht="15">
      <c r="A54" s="1343"/>
      <c r="B54" s="1343"/>
      <c r="C54" s="1343"/>
      <c r="D54" s="1343"/>
      <c r="E54" s="1343"/>
      <c r="F54" s="1343"/>
      <c r="G54" s="1343"/>
      <c r="H54" s="1343"/>
      <c r="I54" s="1343"/>
      <c r="J54" s="1343"/>
      <c r="K54" s="546"/>
    </row>
    <row r="55" spans="1:11" ht="15">
      <c r="A55" s="1339" t="s">
        <v>816</v>
      </c>
      <c r="B55" s="1339"/>
      <c r="C55" s="1339"/>
      <c r="D55" s="1339"/>
      <c r="E55" s="1339"/>
      <c r="F55" s="1339"/>
      <c r="G55" s="1339"/>
      <c r="H55" s="1339"/>
      <c r="I55" s="1339"/>
      <c r="J55" s="1339"/>
      <c r="K55" s="546"/>
    </row>
    <row r="56" spans="1:11" ht="15">
      <c r="A56" s="1339"/>
      <c r="B56" s="1339"/>
      <c r="C56" s="1339"/>
      <c r="D56" s="1339"/>
      <c r="E56" s="1339"/>
      <c r="F56" s="1339"/>
      <c r="G56" s="1339"/>
      <c r="H56" s="1339"/>
      <c r="I56" s="1339"/>
      <c r="J56" s="1339"/>
      <c r="K56" s="546"/>
    </row>
    <row r="57" spans="1:11" ht="15">
      <c r="A57" s="546"/>
      <c r="B57" s="546"/>
      <c r="C57" s="546"/>
      <c r="D57" s="546"/>
      <c r="E57" s="546"/>
      <c r="F57" s="546"/>
      <c r="G57" s="209"/>
      <c r="H57" s="546"/>
      <c r="I57" s="546"/>
      <c r="J57" s="546"/>
      <c r="K57" s="546"/>
    </row>
    <row r="58" spans="1:11" ht="15">
      <c r="A58" s="546"/>
      <c r="B58" s="546"/>
      <c r="C58" s="546"/>
      <c r="D58" s="546"/>
      <c r="E58" s="546"/>
      <c r="F58" s="546"/>
      <c r="G58" s="209"/>
      <c r="H58" s="546"/>
      <c r="I58" s="546"/>
      <c r="J58" s="546"/>
      <c r="K58" s="546"/>
    </row>
    <row r="59" spans="1:11" ht="15">
      <c r="A59" s="546"/>
      <c r="B59" s="546"/>
      <c r="C59" s="546"/>
      <c r="D59" s="546"/>
      <c r="E59" s="546"/>
      <c r="F59" s="546"/>
      <c r="G59" s="209"/>
      <c r="H59" s="546"/>
      <c r="I59" s="546"/>
      <c r="J59" s="546"/>
      <c r="K59" s="546"/>
    </row>
  </sheetData>
  <mergeCells count="13">
    <mergeCell ref="A55:J56"/>
    <mergeCell ref="A9:K9"/>
    <mergeCell ref="A10:K10"/>
    <mergeCell ref="C11:E11"/>
    <mergeCell ref="G11:I11"/>
    <mergeCell ref="A47:J49"/>
    <mergeCell ref="A53:J54"/>
    <mergeCell ref="A8:K8"/>
    <mergeCell ref="A3:K3"/>
    <mergeCell ref="A4:K4"/>
    <mergeCell ref="A5:K5"/>
    <mergeCell ref="A6:K6"/>
    <mergeCell ref="A7:K7"/>
  </mergeCells>
  <conditionalFormatting sqref="A3 A4:K9 A10 A51:J52 A53">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49"/>
  <sheetViews>
    <sheetView tabSelected="1" view="pageBreakPreview" zoomScale="60" zoomScaleNormal="70" workbookViewId="0">
      <selection activeCell="D3" sqref="D3"/>
    </sheetView>
  </sheetViews>
  <sheetFormatPr defaultColWidth="9.140625" defaultRowHeight="12.75"/>
  <cols>
    <col min="1" max="1" width="33.5703125" style="840" customWidth="1"/>
    <col min="2" max="2" width="17.140625" style="840" customWidth="1"/>
    <col min="3" max="3" width="23.42578125" style="840" customWidth="1"/>
    <col min="4" max="4" width="9.140625" style="840"/>
    <col min="5" max="5" width="21.85546875" style="840" customWidth="1"/>
    <col min="6" max="16384" width="9.140625" style="840"/>
  </cols>
  <sheetData>
    <row r="1" spans="1:7" s="546" customFormat="1" ht="15.75">
      <c r="A1" s="651" t="s">
        <v>114</v>
      </c>
      <c r="G1" s="209"/>
    </row>
    <row r="2" spans="1:7" s="546" customFormat="1" ht="15.75">
      <c r="A2" s="651" t="s">
        <v>114</v>
      </c>
      <c r="G2" s="209"/>
    </row>
    <row r="3" spans="1:7" ht="19.5">
      <c r="A3" s="546" t="s">
        <v>114</v>
      </c>
      <c r="B3" s="1346" t="s">
        <v>391</v>
      </c>
      <c r="C3" s="1346"/>
      <c r="D3" s="1346"/>
      <c r="E3" s="1346"/>
    </row>
    <row r="4" spans="1:7" ht="19.5">
      <c r="A4" s="546"/>
      <c r="B4" s="1346" t="s">
        <v>773</v>
      </c>
      <c r="C4" s="1346"/>
      <c r="D4" s="1346"/>
      <c r="E4" s="1346"/>
    </row>
    <row r="5" spans="1:7" ht="19.5">
      <c r="A5" s="546"/>
      <c r="B5" s="1346" t="s">
        <v>774</v>
      </c>
      <c r="C5" s="1346"/>
      <c r="D5" s="1346"/>
      <c r="E5" s="1346"/>
    </row>
    <row r="6" spans="1:7" ht="19.5">
      <c r="A6" s="546"/>
      <c r="B6" s="1346" t="s">
        <v>775</v>
      </c>
      <c r="C6" s="1346"/>
      <c r="D6" s="1346"/>
      <c r="E6" s="1346"/>
    </row>
    <row r="7" spans="1:7" ht="19.5">
      <c r="A7" s="546"/>
      <c r="B7" s="1346" t="s">
        <v>776</v>
      </c>
      <c r="C7" s="1346"/>
      <c r="D7" s="1346"/>
      <c r="E7" s="1346"/>
    </row>
    <row r="8" spans="1:7" ht="19.5">
      <c r="A8" s="546"/>
      <c r="B8" s="1346" t="s">
        <v>777</v>
      </c>
      <c r="C8" s="1346"/>
      <c r="D8" s="1346"/>
      <c r="E8" s="1346"/>
    </row>
    <row r="9" spans="1:7" ht="15">
      <c r="A9" s="546"/>
      <c r="B9" s="841"/>
      <c r="C9" s="841"/>
      <c r="D9" s="549" t="s">
        <v>114</v>
      </c>
      <c r="E9" s="546"/>
    </row>
    <row r="10" spans="1:7" ht="15.75">
      <c r="A10" s="841"/>
      <c r="B10" s="850" t="s">
        <v>399</v>
      </c>
      <c r="C10" s="546"/>
      <c r="D10" s="546"/>
      <c r="E10" s="851"/>
    </row>
    <row r="11" spans="1:7" ht="15.75">
      <c r="A11" s="549"/>
      <c r="B11" s="850" t="s">
        <v>403</v>
      </c>
      <c r="C11" s="850" t="s">
        <v>404</v>
      </c>
      <c r="D11" s="850"/>
      <c r="E11" s="546"/>
    </row>
    <row r="12" spans="1:7" ht="15.75" thickBot="1">
      <c r="A12" s="844"/>
      <c r="B12" s="841"/>
      <c r="C12" s="852" t="s">
        <v>498</v>
      </c>
      <c r="D12" s="546"/>
      <c r="E12" s="546"/>
    </row>
    <row r="13" spans="1:7" ht="15">
      <c r="A13" s="556" t="s">
        <v>406</v>
      </c>
      <c r="B13" s="846"/>
      <c r="C13" s="204"/>
      <c r="D13" s="546"/>
      <c r="E13" s="546"/>
    </row>
    <row r="14" spans="1:7" ht="15">
      <c r="A14" s="546"/>
      <c r="B14" s="853"/>
      <c r="C14" s="203"/>
      <c r="D14" s="854"/>
      <c r="E14" s="546"/>
    </row>
    <row r="15" spans="1:7" ht="15">
      <c r="A15" s="546" t="s">
        <v>407</v>
      </c>
      <c r="B15" s="208">
        <v>352</v>
      </c>
      <c r="C15" s="203">
        <v>1.04E-2</v>
      </c>
      <c r="D15" s="854"/>
      <c r="E15" s="546"/>
    </row>
    <row r="16" spans="1:7" ht="15">
      <c r="A16" s="546" t="s">
        <v>408</v>
      </c>
      <c r="B16" s="208">
        <v>353</v>
      </c>
      <c r="C16" s="203">
        <v>1.49E-2</v>
      </c>
      <c r="D16" s="854"/>
      <c r="E16" s="546"/>
    </row>
    <row r="17" spans="1:5" ht="15">
      <c r="A17" s="546" t="s">
        <v>409</v>
      </c>
      <c r="B17" s="208">
        <v>354</v>
      </c>
      <c r="C17" s="203">
        <v>1.1999999999999999E-3</v>
      </c>
      <c r="D17" s="854"/>
      <c r="E17" s="546"/>
    </row>
    <row r="18" spans="1:5" ht="15">
      <c r="A18" s="546" t="s">
        <v>410</v>
      </c>
      <c r="B18" s="208">
        <v>355</v>
      </c>
      <c r="C18" s="203">
        <v>2.1399999999999999E-2</v>
      </c>
      <c r="D18" s="854"/>
      <c r="E18" s="546"/>
    </row>
    <row r="19" spans="1:5" ht="15">
      <c r="A19" s="546" t="s">
        <v>769</v>
      </c>
      <c r="B19" s="208">
        <v>356</v>
      </c>
      <c r="C19" s="203">
        <v>7.7000000000000002E-3</v>
      </c>
      <c r="D19" s="854"/>
      <c r="E19" s="546"/>
    </row>
    <row r="20" spans="1:5" ht="15">
      <c r="A20" s="546" t="s">
        <v>411</v>
      </c>
      <c r="B20" s="208">
        <v>357</v>
      </c>
      <c r="C20" s="855" t="s">
        <v>613</v>
      </c>
      <c r="D20" s="546"/>
      <c r="E20" s="546"/>
    </row>
    <row r="21" spans="1:5" ht="15">
      <c r="A21" s="546" t="s">
        <v>412</v>
      </c>
      <c r="B21" s="208">
        <v>358</v>
      </c>
      <c r="C21" s="855" t="s">
        <v>613</v>
      </c>
      <c r="D21" s="854"/>
      <c r="E21" s="546"/>
    </row>
    <row r="22" spans="1:5" ht="15.75">
      <c r="A22" s="842" t="s">
        <v>778</v>
      </c>
      <c r="B22" s="856"/>
      <c r="C22" s="857">
        <v>1.46E-2</v>
      </c>
      <c r="D22" s="854"/>
      <c r="E22" s="546"/>
    </row>
    <row r="23" spans="1:5" ht="15.75">
      <c r="A23" s="842"/>
      <c r="B23" s="856"/>
      <c r="C23" s="857"/>
      <c r="D23" s="854"/>
      <c r="E23" s="546"/>
    </row>
    <row r="24" spans="1:5" customFormat="1" ht="15.75">
      <c r="A24" s="462" t="s">
        <v>800</v>
      </c>
      <c r="C24" s="1"/>
    </row>
    <row r="25" spans="1:5" customFormat="1">
      <c r="C25" s="1"/>
    </row>
    <row r="26" spans="1:5" customFormat="1" ht="15">
      <c r="A26" s="861" t="s">
        <v>801</v>
      </c>
      <c r="B26" s="865">
        <v>390</v>
      </c>
      <c r="C26" s="864">
        <v>1.7100000000000001E-2</v>
      </c>
    </row>
    <row r="27" spans="1:5" customFormat="1" ht="15">
      <c r="A27" s="861" t="s">
        <v>802</v>
      </c>
      <c r="B27" s="865">
        <v>391</v>
      </c>
      <c r="C27" s="864">
        <v>2.8199999999999999E-2</v>
      </c>
    </row>
    <row r="28" spans="1:5" customFormat="1" ht="15">
      <c r="A28" s="861" t="s">
        <v>803</v>
      </c>
      <c r="B28" s="865">
        <v>393</v>
      </c>
      <c r="C28" s="864">
        <v>2.2200000000000001E-2</v>
      </c>
    </row>
    <row r="29" spans="1:5" customFormat="1" ht="15">
      <c r="A29" s="861" t="s">
        <v>804</v>
      </c>
      <c r="B29" s="865">
        <v>394</v>
      </c>
      <c r="C29" s="864">
        <v>3.1199999999999999E-2</v>
      </c>
    </row>
    <row r="30" spans="1:5" customFormat="1" ht="15">
      <c r="A30" s="861" t="s">
        <v>805</v>
      </c>
      <c r="B30" s="865">
        <v>395</v>
      </c>
      <c r="C30" s="864">
        <v>3.1699999999999999E-2</v>
      </c>
    </row>
    <row r="31" spans="1:5" customFormat="1" ht="15">
      <c r="A31" s="861" t="s">
        <v>806</v>
      </c>
      <c r="B31" s="865">
        <v>397</v>
      </c>
      <c r="C31" s="864">
        <v>3.32E-2</v>
      </c>
    </row>
    <row r="32" spans="1:5" customFormat="1" ht="15">
      <c r="A32" s="861" t="s">
        <v>807</v>
      </c>
      <c r="B32" s="865">
        <v>398</v>
      </c>
      <c r="C32" s="864">
        <v>4.9200000000000001E-2</v>
      </c>
    </row>
    <row r="33" spans="1:5" customFormat="1" ht="15">
      <c r="A33" s="28"/>
      <c r="B33" s="861"/>
      <c r="C33" s="864"/>
    </row>
    <row r="34" spans="1:5" customFormat="1" ht="15.75">
      <c r="A34" s="28"/>
      <c r="B34" s="863" t="s">
        <v>808</v>
      </c>
      <c r="C34" s="864">
        <v>3.2500000000000001E-2</v>
      </c>
    </row>
    <row r="35" spans="1:5" customFormat="1" ht="15.75">
      <c r="A35" s="28"/>
      <c r="B35" s="863"/>
      <c r="C35" s="862"/>
    </row>
    <row r="36" spans="1:5" ht="15.75">
      <c r="A36" s="546" t="s">
        <v>779</v>
      </c>
      <c r="B36" s="847"/>
      <c r="C36" s="211"/>
      <c r="D36" s="546"/>
      <c r="E36" s="546"/>
    </row>
    <row r="37" spans="1:5" ht="15">
      <c r="A37" s="1344"/>
      <c r="B37" s="1344"/>
      <c r="C37" s="1344"/>
      <c r="D37" s="1344"/>
      <c r="E37" s="546"/>
    </row>
    <row r="38" spans="1:5" ht="15">
      <c r="A38" s="1344" t="s">
        <v>780</v>
      </c>
      <c r="B38" s="1344"/>
      <c r="C38" s="1344"/>
      <c r="D38" s="1344"/>
      <c r="E38" s="546"/>
    </row>
    <row r="39" spans="1:5" ht="15">
      <c r="A39" s="546" t="s">
        <v>158</v>
      </c>
      <c r="B39" s="546"/>
      <c r="C39" s="546"/>
      <c r="D39" s="546"/>
      <c r="E39" s="546"/>
    </row>
    <row r="40" spans="1:5" ht="15">
      <c r="A40" s="1344" t="s">
        <v>781</v>
      </c>
      <c r="B40" s="1344"/>
      <c r="C40" s="1344"/>
      <c r="D40" s="546"/>
      <c r="E40" s="546"/>
    </row>
    <row r="41" spans="1:5" ht="15">
      <c r="A41" s="1344"/>
      <c r="B41" s="1344"/>
      <c r="C41" s="1344"/>
      <c r="D41" s="546"/>
      <c r="E41" s="546"/>
    </row>
    <row r="42" spans="1:5" ht="15">
      <c r="A42" s="546"/>
      <c r="B42" s="841"/>
      <c r="C42" s="203"/>
      <c r="D42" s="546"/>
      <c r="E42" s="546"/>
    </row>
    <row r="43" spans="1:5" ht="15">
      <c r="A43" s="1344"/>
      <c r="B43" s="1344"/>
      <c r="C43" s="1344"/>
      <c r="D43" s="1344"/>
      <c r="E43" s="546"/>
    </row>
    <row r="44" spans="1:5" ht="15.75">
      <c r="A44" s="849" t="s">
        <v>782</v>
      </c>
      <c r="B44" s="841"/>
      <c r="C44" s="203"/>
      <c r="D44" s="546"/>
      <c r="E44" s="546"/>
    </row>
    <row r="45" spans="1:5" ht="15">
      <c r="A45" s="1345" t="s">
        <v>816</v>
      </c>
      <c r="B45" s="1345"/>
      <c r="C45" s="1345"/>
      <c r="D45" s="851"/>
      <c r="E45" s="546"/>
    </row>
    <row r="46" spans="1:5" ht="15">
      <c r="A46" s="1345"/>
      <c r="B46" s="1345"/>
      <c r="C46" s="1345"/>
      <c r="D46" s="851"/>
      <c r="E46" s="546"/>
    </row>
    <row r="47" spans="1:5" ht="15">
      <c r="A47" s="1345"/>
      <c r="B47" s="1345"/>
      <c r="C47" s="1345"/>
      <c r="D47" s="851"/>
      <c r="E47" s="546"/>
    </row>
    <row r="48" spans="1:5" ht="15">
      <c r="A48" s="1345"/>
      <c r="B48" s="1345"/>
      <c r="C48" s="1345"/>
      <c r="D48" s="851"/>
      <c r="E48" s="546"/>
    </row>
    <row r="49" spans="1:5" ht="15">
      <c r="A49" s="1345"/>
      <c r="B49" s="1345"/>
      <c r="C49" s="1345"/>
      <c r="D49" s="851"/>
      <c r="E49" s="546"/>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33"/>
  <sheetViews>
    <sheetView tabSelected="1" view="pageBreakPreview" zoomScale="60" zoomScaleNormal="70" workbookViewId="0">
      <selection activeCell="D3" sqref="D3"/>
    </sheetView>
  </sheetViews>
  <sheetFormatPr defaultColWidth="9.140625" defaultRowHeight="12.75"/>
  <cols>
    <col min="1" max="1" width="9.140625" style="840"/>
    <col min="2" max="2" width="38.5703125" style="840" customWidth="1"/>
    <col min="3" max="3" width="21.85546875" style="840" customWidth="1"/>
    <col min="4" max="4" width="25.85546875" style="840" customWidth="1"/>
    <col min="5" max="16384" width="9.140625" style="840"/>
  </cols>
  <sheetData>
    <row r="1" spans="1:7" s="546" customFormat="1" ht="15.75">
      <c r="A1" s="651" t="s">
        <v>114</v>
      </c>
      <c r="G1" s="209"/>
    </row>
    <row r="2" spans="1:7" s="546" customFormat="1" ht="15.75">
      <c r="A2" s="651" t="s">
        <v>114</v>
      </c>
      <c r="G2" s="209"/>
    </row>
    <row r="3" spans="1:7" ht="19.5">
      <c r="A3" s="546" t="s">
        <v>114</v>
      </c>
      <c r="B3" s="1346" t="s">
        <v>391</v>
      </c>
      <c r="C3" s="1346"/>
      <c r="D3" s="1346"/>
      <c r="E3" s="1346"/>
    </row>
    <row r="4" spans="1:7" ht="19.5">
      <c r="A4" s="546"/>
      <c r="B4" s="1346" t="s">
        <v>773</v>
      </c>
      <c r="C4" s="1346"/>
      <c r="D4" s="1346"/>
      <c r="E4" s="1346"/>
    </row>
    <row r="5" spans="1:7" ht="19.5">
      <c r="A5" s="546"/>
      <c r="B5" s="1346" t="s">
        <v>774</v>
      </c>
      <c r="C5" s="1346"/>
      <c r="D5" s="1346"/>
      <c r="E5" s="1346"/>
    </row>
    <row r="6" spans="1:7" ht="19.5">
      <c r="A6" s="546"/>
      <c r="B6" s="1346" t="s">
        <v>783</v>
      </c>
      <c r="C6" s="1346"/>
      <c r="D6" s="1346"/>
      <c r="E6" s="1346"/>
    </row>
    <row r="7" spans="1:7" ht="19.5">
      <c r="A7" s="546"/>
      <c r="B7" s="1346" t="s">
        <v>776</v>
      </c>
      <c r="C7" s="1346"/>
      <c r="D7" s="1346"/>
      <c r="E7" s="1346"/>
    </row>
    <row r="8" spans="1:7" ht="19.5">
      <c r="A8" s="546"/>
      <c r="B8" s="1346" t="s">
        <v>784</v>
      </c>
      <c r="C8" s="1346"/>
      <c r="D8" s="1346"/>
      <c r="E8" s="1346"/>
    </row>
    <row r="9" spans="1:7" ht="15">
      <c r="A9" s="546"/>
      <c r="B9" s="841"/>
      <c r="C9" s="841"/>
      <c r="D9" s="549" t="s">
        <v>114</v>
      </c>
      <c r="E9" s="546"/>
    </row>
    <row r="10" spans="1:7" ht="15.75">
      <c r="A10" s="546"/>
      <c r="B10" s="841"/>
      <c r="C10" s="850" t="s">
        <v>399</v>
      </c>
      <c r="D10" s="546"/>
      <c r="E10" s="546"/>
    </row>
    <row r="11" spans="1:7" ht="15.75">
      <c r="A11" s="546"/>
      <c r="B11" s="549"/>
      <c r="C11" s="850" t="s">
        <v>403</v>
      </c>
      <c r="D11" s="850" t="s">
        <v>404</v>
      </c>
      <c r="E11" s="850"/>
    </row>
    <row r="12" spans="1:7" ht="15.75" thickBot="1">
      <c r="A12" s="546"/>
      <c r="B12" s="844"/>
      <c r="C12" s="841"/>
      <c r="D12" s="852" t="s">
        <v>498</v>
      </c>
      <c r="E12" s="546"/>
    </row>
    <row r="13" spans="1:7" ht="15">
      <c r="A13" s="546"/>
      <c r="B13" s="556" t="s">
        <v>406</v>
      </c>
      <c r="C13" s="846"/>
      <c r="D13" s="204"/>
      <c r="E13" s="546"/>
    </row>
    <row r="14" spans="1:7" ht="15">
      <c r="A14" s="546"/>
      <c r="B14" s="546"/>
      <c r="C14" s="853"/>
      <c r="D14" s="203"/>
      <c r="E14" s="854"/>
    </row>
    <row r="15" spans="1:7" ht="15">
      <c r="A15" s="546"/>
      <c r="B15" s="546" t="s">
        <v>785</v>
      </c>
      <c r="C15" s="546">
        <v>350.1</v>
      </c>
      <c r="D15" s="203">
        <v>1.44E-2</v>
      </c>
      <c r="E15" s="854"/>
    </row>
    <row r="16" spans="1:7" ht="15">
      <c r="A16" s="546"/>
      <c r="B16" s="546" t="s">
        <v>407</v>
      </c>
      <c r="C16" s="208">
        <v>352</v>
      </c>
      <c r="D16" s="203">
        <v>2.0799999999999999E-2</v>
      </c>
      <c r="E16" s="854"/>
    </row>
    <row r="17" spans="1:5" ht="15">
      <c r="A17" s="546"/>
      <c r="B17" s="546" t="s">
        <v>408</v>
      </c>
      <c r="C17" s="208">
        <v>353</v>
      </c>
      <c r="D17" s="203">
        <v>2.1499999999999998E-2</v>
      </c>
      <c r="E17" s="854"/>
    </row>
    <row r="18" spans="1:5" ht="15">
      <c r="A18" s="546"/>
      <c r="B18" s="546" t="s">
        <v>409</v>
      </c>
      <c r="C18" s="208">
        <v>354</v>
      </c>
      <c r="D18" s="203">
        <v>2.6100000000000002E-2</v>
      </c>
      <c r="E18" s="854"/>
    </row>
    <row r="19" spans="1:5" ht="15">
      <c r="A19" s="546"/>
      <c r="B19" s="546" t="s">
        <v>410</v>
      </c>
      <c r="C19" s="208">
        <v>355</v>
      </c>
      <c r="D19" s="203">
        <v>3.95E-2</v>
      </c>
      <c r="E19" s="854"/>
    </row>
    <row r="20" spans="1:5" ht="15">
      <c r="A20" s="546"/>
      <c r="B20" s="546" t="s">
        <v>769</v>
      </c>
      <c r="C20" s="208">
        <v>356</v>
      </c>
      <c r="D20" s="203">
        <v>2.9100000000000001E-2</v>
      </c>
      <c r="E20" s="854"/>
    </row>
    <row r="21" spans="1:5" ht="15">
      <c r="A21" s="546"/>
      <c r="B21" s="546" t="s">
        <v>411</v>
      </c>
      <c r="C21" s="208">
        <v>357</v>
      </c>
      <c r="D21" s="203">
        <v>2.9899999999999999E-2</v>
      </c>
      <c r="E21" s="854"/>
    </row>
    <row r="22" spans="1:5" ht="15">
      <c r="A22" s="546"/>
      <c r="B22" s="546" t="s">
        <v>412</v>
      </c>
      <c r="C22" s="208">
        <v>358</v>
      </c>
      <c r="D22" s="203">
        <v>2.6200000000000001E-2</v>
      </c>
      <c r="E22" s="854"/>
    </row>
    <row r="23" spans="1:5" ht="15">
      <c r="A23" s="546"/>
      <c r="B23" s="546"/>
      <c r="C23" s="841"/>
      <c r="D23" s="203"/>
      <c r="E23" s="546"/>
    </row>
    <row r="24" spans="1:5" ht="15.75">
      <c r="A24" s="546"/>
      <c r="B24" s="546" t="s">
        <v>779</v>
      </c>
      <c r="C24" s="847"/>
      <c r="D24" s="211"/>
      <c r="E24" s="546"/>
    </row>
    <row r="25" spans="1:5" ht="15">
      <c r="A25" s="546"/>
      <c r="B25" s="1344"/>
      <c r="C25" s="1344"/>
      <c r="D25" s="1344"/>
      <c r="E25" s="1344"/>
    </row>
    <row r="26" spans="1:5" ht="15">
      <c r="A26" s="546"/>
      <c r="B26" s="1344" t="s">
        <v>786</v>
      </c>
      <c r="C26" s="1344"/>
      <c r="D26" s="1344"/>
      <c r="E26" s="1344"/>
    </row>
    <row r="27" spans="1:5" ht="15">
      <c r="A27" s="546"/>
      <c r="B27" s="1344"/>
      <c r="C27" s="1344"/>
      <c r="D27" s="1344"/>
      <c r="E27" s="1344"/>
    </row>
    <row r="28" spans="1:5" ht="15.75">
      <c r="A28" s="546"/>
      <c r="B28" s="849" t="s">
        <v>782</v>
      </c>
      <c r="C28" s="841"/>
      <c r="D28" s="203"/>
      <c r="E28" s="546"/>
    </row>
    <row r="29" spans="1:5" ht="15">
      <c r="A29" s="546"/>
      <c r="B29" s="1345" t="s">
        <v>816</v>
      </c>
      <c r="C29" s="1345"/>
      <c r="D29" s="1345"/>
      <c r="E29" s="851"/>
    </row>
    <row r="30" spans="1:5" ht="15">
      <c r="A30" s="546"/>
      <c r="B30" s="1345"/>
      <c r="C30" s="1345"/>
      <c r="D30" s="1345"/>
      <c r="E30" s="851"/>
    </row>
    <row r="31" spans="1:5" ht="15">
      <c r="A31" s="546"/>
      <c r="B31" s="1345"/>
      <c r="C31" s="1345"/>
      <c r="D31" s="1345"/>
      <c r="E31" s="851"/>
    </row>
    <row r="32" spans="1:5" ht="15">
      <c r="A32" s="546"/>
      <c r="B32" s="1345"/>
      <c r="C32" s="1345"/>
      <c r="D32" s="1345"/>
      <c r="E32" s="851"/>
    </row>
    <row r="33" spans="1:5" ht="15">
      <c r="A33" s="546"/>
      <c r="B33" s="1345"/>
      <c r="C33" s="1345"/>
      <c r="D33" s="1345"/>
      <c r="E33" s="851"/>
    </row>
  </sheetData>
  <mergeCells count="10">
    <mergeCell ref="B25:E25"/>
    <mergeCell ref="B26:E26"/>
    <mergeCell ref="B27:E27"/>
    <mergeCell ref="B29:D33"/>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G47"/>
  <sheetViews>
    <sheetView tabSelected="1" view="pageBreakPreview" topLeftCell="A4" zoomScale="60" zoomScaleNormal="70" workbookViewId="0">
      <selection activeCell="D3" sqref="D3"/>
    </sheetView>
  </sheetViews>
  <sheetFormatPr defaultColWidth="9.140625" defaultRowHeight="12.75"/>
  <cols>
    <col min="1" max="1" width="38.85546875" style="840" customWidth="1"/>
    <col min="2" max="2" width="28.42578125" style="840" customWidth="1"/>
    <col min="3" max="3" width="23.140625" style="840" customWidth="1"/>
    <col min="4" max="16384" width="9.140625" style="840"/>
  </cols>
  <sheetData>
    <row r="1" spans="1:7" s="546" customFormat="1" ht="15.75">
      <c r="A1" s="651" t="s">
        <v>114</v>
      </c>
      <c r="G1" s="209"/>
    </row>
    <row r="2" spans="1:7" s="546" customFormat="1" ht="15.75">
      <c r="A2" s="651" t="s">
        <v>114</v>
      </c>
      <c r="G2" s="209"/>
    </row>
    <row r="3" spans="1:7" ht="19.5">
      <c r="A3" s="1346" t="s">
        <v>391</v>
      </c>
      <c r="B3" s="1346"/>
      <c r="C3" s="1346"/>
      <c r="D3" s="1346"/>
    </row>
    <row r="4" spans="1:7" ht="19.5">
      <c r="A4" s="1346" t="s">
        <v>773</v>
      </c>
      <c r="B4" s="1346"/>
      <c r="C4" s="1346"/>
      <c r="D4" s="1346"/>
    </row>
    <row r="5" spans="1:7" ht="19.5">
      <c r="A5" s="1346" t="s">
        <v>774</v>
      </c>
      <c r="B5" s="1346"/>
      <c r="C5" s="1346"/>
      <c r="D5" s="1346"/>
    </row>
    <row r="6" spans="1:7" ht="19.5">
      <c r="A6" s="1346" t="s">
        <v>1158</v>
      </c>
      <c r="B6" s="1346"/>
      <c r="C6" s="1346"/>
      <c r="D6" s="1346"/>
    </row>
    <row r="7" spans="1:7" ht="19.5">
      <c r="A7" s="1346" t="s">
        <v>776</v>
      </c>
      <c r="B7" s="1346"/>
      <c r="C7" s="1346"/>
      <c r="D7" s="1346"/>
    </row>
    <row r="8" spans="1:7" ht="19.5">
      <c r="A8" s="1346" t="s">
        <v>787</v>
      </c>
      <c r="B8" s="1346"/>
      <c r="C8" s="1346"/>
      <c r="D8" s="1346"/>
    </row>
    <row r="9" spans="1:7" ht="15">
      <c r="A9" s="841"/>
      <c r="B9" s="841"/>
      <c r="C9" s="549" t="s">
        <v>114</v>
      </c>
      <c r="D9" s="546"/>
    </row>
    <row r="10" spans="1:7" ht="15.75">
      <c r="A10" s="841"/>
      <c r="B10" s="850" t="s">
        <v>399</v>
      </c>
      <c r="C10" s="546"/>
      <c r="D10" s="546"/>
    </row>
    <row r="11" spans="1:7" ht="15.75">
      <c r="A11" s="549"/>
      <c r="B11" s="850" t="s">
        <v>403</v>
      </c>
      <c r="C11" s="850" t="s">
        <v>404</v>
      </c>
      <c r="D11" s="850"/>
    </row>
    <row r="12" spans="1:7" ht="15.75" thickBot="1">
      <c r="A12" s="844"/>
      <c r="B12" s="841"/>
      <c r="C12" s="852" t="s">
        <v>498</v>
      </c>
      <c r="D12" s="546"/>
    </row>
    <row r="13" spans="1:7" ht="15">
      <c r="A13" s="556" t="s">
        <v>406</v>
      </c>
      <c r="B13" s="846"/>
      <c r="C13" s="204"/>
      <c r="D13" s="546"/>
    </row>
    <row r="14" spans="1:7" ht="15">
      <c r="A14" s="546" t="s">
        <v>407</v>
      </c>
      <c r="B14" s="208">
        <v>352</v>
      </c>
      <c r="C14" s="203">
        <v>2.0199999999999999E-2</v>
      </c>
      <c r="D14" s="854"/>
    </row>
    <row r="15" spans="1:7" ht="15">
      <c r="A15" s="546" t="s">
        <v>408</v>
      </c>
      <c r="B15" s="208">
        <v>353</v>
      </c>
      <c r="C15" s="203">
        <v>2.29E-2</v>
      </c>
      <c r="D15" s="854"/>
    </row>
    <row r="16" spans="1:7" ht="15">
      <c r="A16" s="853"/>
      <c r="B16" s="208"/>
      <c r="C16" s="203"/>
      <c r="D16" s="854"/>
    </row>
    <row r="17" spans="1:4" ht="15">
      <c r="A17" s="546" t="s">
        <v>788</v>
      </c>
      <c r="B17" s="208">
        <v>354</v>
      </c>
      <c r="C17" s="203">
        <v>1.8800000000000001E-2</v>
      </c>
      <c r="D17" s="854"/>
    </row>
    <row r="18" spans="1:4" ht="15">
      <c r="A18" s="546" t="s">
        <v>789</v>
      </c>
      <c r="B18" s="208">
        <v>354</v>
      </c>
      <c r="C18" s="203">
        <v>1.8800000000000001E-2</v>
      </c>
      <c r="D18" s="854"/>
    </row>
    <row r="19" spans="1:4" ht="15">
      <c r="A19" s="546"/>
      <c r="B19" s="208"/>
      <c r="C19" s="203"/>
      <c r="D19" s="854"/>
    </row>
    <row r="20" spans="1:4" ht="15">
      <c r="A20" s="546" t="s">
        <v>790</v>
      </c>
      <c r="B20" s="208">
        <v>355</v>
      </c>
      <c r="C20" s="203">
        <v>3.5200000000000002E-2</v>
      </c>
      <c r="D20" s="854"/>
    </row>
    <row r="21" spans="1:4" ht="15">
      <c r="A21" s="546" t="s">
        <v>791</v>
      </c>
      <c r="B21" s="208">
        <v>355</v>
      </c>
      <c r="C21" s="203">
        <v>3.5200000000000002E-2</v>
      </c>
      <c r="D21" s="854"/>
    </row>
    <row r="22" spans="1:4" ht="15">
      <c r="A22" s="546"/>
      <c r="B22" s="208"/>
      <c r="C22" s="203"/>
      <c r="D22" s="854"/>
    </row>
    <row r="23" spans="1:4" ht="15">
      <c r="A23" s="546" t="s">
        <v>792</v>
      </c>
      <c r="B23" s="208">
        <v>356</v>
      </c>
      <c r="C23" s="203">
        <v>1.9099999999999999E-2</v>
      </c>
      <c r="D23" s="854"/>
    </row>
    <row r="24" spans="1:4" ht="15">
      <c r="A24" s="546" t="s">
        <v>793</v>
      </c>
      <c r="B24" s="208">
        <v>356</v>
      </c>
      <c r="C24" s="203">
        <v>1.9099999999999999E-2</v>
      </c>
      <c r="D24" s="854"/>
    </row>
    <row r="25" spans="1:4" ht="15">
      <c r="A25" s="546" t="s">
        <v>794</v>
      </c>
      <c r="B25" s="208">
        <v>356</v>
      </c>
      <c r="C25" s="203">
        <v>1.9099999999999999E-2</v>
      </c>
      <c r="D25" s="854"/>
    </row>
    <row r="26" spans="1:4" ht="15">
      <c r="A26" s="546" t="s">
        <v>795</v>
      </c>
      <c r="B26" s="208">
        <v>356</v>
      </c>
      <c r="C26" s="203">
        <v>1.9099999999999999E-2</v>
      </c>
      <c r="D26" s="854"/>
    </row>
    <row r="27" spans="1:4" ht="15">
      <c r="A27" s="546" t="s">
        <v>796</v>
      </c>
      <c r="B27" s="208">
        <v>356</v>
      </c>
      <c r="C27" s="203">
        <v>1.9099999999999999E-2</v>
      </c>
      <c r="D27" s="854"/>
    </row>
    <row r="28" spans="1:4" ht="15">
      <c r="A28" s="546"/>
      <c r="B28" s="208"/>
      <c r="C28" s="203"/>
      <c r="D28" s="854"/>
    </row>
    <row r="29" spans="1:4" ht="15">
      <c r="A29" s="546" t="s">
        <v>411</v>
      </c>
      <c r="B29" s="208">
        <v>357</v>
      </c>
      <c r="C29" s="203">
        <v>2.2599999999999999E-2</v>
      </c>
      <c r="D29" s="854"/>
    </row>
    <row r="30" spans="1:4" ht="15">
      <c r="A30" s="546" t="s">
        <v>412</v>
      </c>
      <c r="B30" s="208">
        <v>358</v>
      </c>
      <c r="C30" s="203">
        <v>3.27E-2</v>
      </c>
      <c r="D30" s="854"/>
    </row>
    <row r="31" spans="1:4" ht="15">
      <c r="A31" s="853"/>
      <c r="B31" s="841"/>
      <c r="C31" s="203"/>
      <c r="D31" s="546"/>
    </row>
    <row r="32" spans="1:4" ht="15.75" thickBot="1">
      <c r="A32" s="858"/>
      <c r="B32" s="859"/>
      <c r="C32" s="860"/>
      <c r="D32" s="546"/>
    </row>
    <row r="33" spans="1:4" ht="15">
      <c r="A33" s="844"/>
      <c r="B33" s="841"/>
      <c r="C33" s="203"/>
      <c r="D33" s="546"/>
    </row>
    <row r="34" spans="1:4" ht="15">
      <c r="A34" s="546"/>
      <c r="B34" s="841"/>
      <c r="C34" s="203"/>
      <c r="D34" s="546"/>
    </row>
    <row r="35" spans="1:4" ht="15.75">
      <c r="A35" s="546" t="s">
        <v>779</v>
      </c>
      <c r="B35" s="847"/>
      <c r="C35" s="211"/>
      <c r="D35" s="546"/>
    </row>
    <row r="36" spans="1:4" ht="15">
      <c r="A36" s="546"/>
      <c r="B36" s="546"/>
      <c r="C36" s="546"/>
      <c r="D36" s="546"/>
    </row>
    <row r="37" spans="1:4" ht="15" customHeight="1">
      <c r="A37" s="1344" t="s">
        <v>1159</v>
      </c>
      <c r="B37" s="1344"/>
      <c r="C37" s="1344"/>
      <c r="D37" s="1344"/>
    </row>
    <row r="38" spans="1:4" ht="15">
      <c r="A38" s="546" t="s">
        <v>1160</v>
      </c>
      <c r="B38" s="546"/>
      <c r="C38" s="546"/>
      <c r="D38" s="546"/>
    </row>
    <row r="39" spans="1:4" ht="15">
      <c r="A39" s="546"/>
      <c r="B39" s="546"/>
      <c r="C39" s="546"/>
      <c r="D39" s="546"/>
    </row>
    <row r="40" spans="1:4" ht="15">
      <c r="A40" s="546"/>
      <c r="B40" s="546"/>
      <c r="C40" s="546"/>
      <c r="D40" s="546"/>
    </row>
    <row r="41" spans="1:4" ht="15.75">
      <c r="A41" s="849" t="s">
        <v>797</v>
      </c>
      <c r="B41" s="841"/>
      <c r="C41" s="203"/>
      <c r="D41" s="546"/>
    </row>
    <row r="42" spans="1:4">
      <c r="A42" s="1345" t="s">
        <v>816</v>
      </c>
      <c r="B42" s="1345"/>
      <c r="C42" s="1345"/>
      <c r="D42" s="851"/>
    </row>
    <row r="43" spans="1:4">
      <c r="A43" s="1345"/>
      <c r="B43" s="1345"/>
      <c r="C43" s="1345"/>
      <c r="D43" s="851"/>
    </row>
    <row r="44" spans="1:4">
      <c r="A44" s="1345"/>
      <c r="B44" s="1345"/>
      <c r="C44" s="1345"/>
      <c r="D44" s="851"/>
    </row>
    <row r="45" spans="1:4">
      <c r="A45" s="1345"/>
      <c r="B45" s="1345"/>
      <c r="C45" s="1345"/>
      <c r="D45" s="851"/>
    </row>
    <row r="46" spans="1:4">
      <c r="A46" s="1345"/>
      <c r="B46" s="1345"/>
      <c r="C46" s="1345"/>
      <c r="D46" s="851"/>
    </row>
    <row r="47" spans="1:4" ht="15">
      <c r="A47" s="546"/>
      <c r="B47" s="546"/>
      <c r="C47" s="546"/>
      <c r="D47" s="546"/>
    </row>
  </sheetData>
  <mergeCells count="8">
    <mergeCell ref="A37:D37"/>
    <mergeCell ref="A42:C46"/>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codeName="Sheet27">
    <pageSetUpPr fitToPage="1"/>
  </sheetPr>
  <dimension ref="A1:H45"/>
  <sheetViews>
    <sheetView tabSelected="1" defaultGridColor="0" view="pageBreakPreview" colorId="22" zoomScale="60" zoomScaleNormal="75" workbookViewId="0">
      <selection activeCell="D3" sqref="D3"/>
    </sheetView>
  </sheetViews>
  <sheetFormatPr defaultColWidth="14.5703125" defaultRowHeight="15"/>
  <cols>
    <col min="1" max="1" width="41.5703125" style="546" customWidth="1"/>
    <col min="2" max="2" width="33.140625" style="546" customWidth="1"/>
    <col min="3" max="4" width="31.85546875" style="546" customWidth="1"/>
    <col min="5" max="5" width="16.5703125" style="546" customWidth="1"/>
    <col min="6" max="6" width="14.5703125" style="546" customWidth="1"/>
    <col min="7" max="7" width="4.85546875" style="546" customWidth="1"/>
    <col min="8" max="8" width="14.5703125" style="209" customWidth="1"/>
    <col min="9" max="9" width="18.42578125" style="546" customWidth="1"/>
    <col min="10" max="10" width="15.5703125" style="546" customWidth="1"/>
    <col min="11" max="11" width="6.140625" style="546" customWidth="1"/>
    <col min="12" max="12" width="14.5703125" style="546" customWidth="1"/>
    <col min="13" max="13" width="16.140625" style="546" customWidth="1"/>
    <col min="14" max="14" width="14.5703125" style="546" customWidth="1"/>
    <col min="15" max="15" width="4.85546875" style="546" customWidth="1"/>
    <col min="16" max="16" width="18.5703125" style="546" customWidth="1"/>
    <col min="17" max="16384" width="14.5703125" style="546"/>
  </cols>
  <sheetData>
    <row r="1" spans="1:7" s="546" customFormat="1" ht="15.75">
      <c r="A1" s="651" t="s">
        <v>114</v>
      </c>
      <c r="G1" s="209"/>
    </row>
    <row r="2" spans="1:7" s="546" customFormat="1" ht="15.75">
      <c r="A2" s="651" t="s">
        <v>114</v>
      </c>
      <c r="G2" s="209"/>
    </row>
    <row r="3" spans="1:7" ht="19.5">
      <c r="B3" s="1346" t="s">
        <v>391</v>
      </c>
      <c r="C3" s="1346"/>
      <c r="D3" s="1346"/>
      <c r="E3" s="1346"/>
    </row>
    <row r="4" spans="1:7" ht="19.5">
      <c r="B4" s="1346" t="s">
        <v>773</v>
      </c>
      <c r="C4" s="1346"/>
      <c r="D4" s="1346"/>
      <c r="E4" s="1346"/>
    </row>
    <row r="5" spans="1:7" ht="19.5">
      <c r="B5" s="1346" t="s">
        <v>774</v>
      </c>
      <c r="C5" s="1346"/>
      <c r="D5" s="1346"/>
      <c r="E5" s="1346"/>
    </row>
    <row r="6" spans="1:7" ht="19.5">
      <c r="B6" s="1346" t="s">
        <v>1161</v>
      </c>
      <c r="C6" s="1346"/>
      <c r="D6" s="1346"/>
      <c r="E6" s="1346"/>
    </row>
    <row r="7" spans="1:7" ht="19.5">
      <c r="B7" s="1346" t="s">
        <v>776</v>
      </c>
      <c r="C7" s="1346"/>
      <c r="D7" s="1346"/>
      <c r="E7" s="1346"/>
    </row>
    <row r="8" spans="1:7" ht="19.5">
      <c r="B8" s="1346" t="s">
        <v>798</v>
      </c>
      <c r="C8" s="1346"/>
      <c r="D8" s="1346"/>
      <c r="E8" s="1346"/>
    </row>
    <row r="9" spans="1:7">
      <c r="B9" s="841"/>
      <c r="C9" s="841"/>
      <c r="D9" s="549" t="s">
        <v>114</v>
      </c>
    </row>
    <row r="10" spans="1:7">
      <c r="A10" s="1347"/>
      <c r="B10" s="1347"/>
      <c r="C10" s="1347"/>
      <c r="D10" s="993"/>
    </row>
    <row r="11" spans="1:7" ht="15.75">
      <c r="A11" s="841"/>
      <c r="B11" s="850" t="s">
        <v>399</v>
      </c>
    </row>
    <row r="12" spans="1:7" ht="15.75">
      <c r="A12" s="549"/>
      <c r="B12" s="850" t="s">
        <v>403</v>
      </c>
      <c r="C12" s="850" t="s">
        <v>404</v>
      </c>
      <c r="D12" s="850"/>
    </row>
    <row r="13" spans="1:7" ht="15.75" thickBot="1">
      <c r="C13" s="854" t="s">
        <v>498</v>
      </c>
    </row>
    <row r="14" spans="1:7">
      <c r="A14" s="556" t="s">
        <v>406</v>
      </c>
      <c r="B14" s="846"/>
      <c r="C14" s="204"/>
    </row>
    <row r="15" spans="1:7">
      <c r="A15" s="853"/>
      <c r="D15" s="854"/>
    </row>
    <row r="16" spans="1:7">
      <c r="A16" s="546" t="s">
        <v>407</v>
      </c>
      <c r="B16" s="208">
        <v>352</v>
      </c>
      <c r="C16" s="203">
        <v>1.15E-2</v>
      </c>
      <c r="D16" s="854"/>
    </row>
    <row r="17" spans="1:4">
      <c r="A17" s="546" t="s">
        <v>408</v>
      </c>
      <c r="B17" s="208">
        <v>353</v>
      </c>
      <c r="C17" s="203">
        <v>2.2200000000000001E-2</v>
      </c>
      <c r="D17" s="854"/>
    </row>
    <row r="18" spans="1:4">
      <c r="A18" s="546" t="s">
        <v>409</v>
      </c>
      <c r="B18" s="208">
        <v>354</v>
      </c>
      <c r="C18" s="203">
        <v>2.6499999999999999E-2</v>
      </c>
      <c r="D18" s="854"/>
    </row>
    <row r="19" spans="1:4">
      <c r="A19" s="546" t="s">
        <v>410</v>
      </c>
      <c r="B19" s="208">
        <v>355</v>
      </c>
      <c r="C19" s="203">
        <v>2.41E-2</v>
      </c>
      <c r="D19" s="854"/>
    </row>
    <row r="20" spans="1:4">
      <c r="A20" s="546" t="s">
        <v>769</v>
      </c>
      <c r="B20" s="208">
        <v>356</v>
      </c>
      <c r="C20" s="203">
        <v>1.32E-2</v>
      </c>
      <c r="D20" s="854"/>
    </row>
    <row r="21" spans="1:4">
      <c r="A21" s="546" t="s">
        <v>411</v>
      </c>
      <c r="B21" s="208">
        <v>351</v>
      </c>
      <c r="C21" s="203">
        <v>9.9400000000000002E-2</v>
      </c>
      <c r="D21" s="854"/>
    </row>
    <row r="22" spans="1:4">
      <c r="A22" s="546" t="s">
        <v>412</v>
      </c>
      <c r="B22" s="208">
        <v>351</v>
      </c>
      <c r="C22" s="203">
        <v>0.13980000000000001</v>
      </c>
      <c r="D22" s="854"/>
    </row>
    <row r="23" spans="1:4">
      <c r="A23" s="546" t="s">
        <v>770</v>
      </c>
      <c r="B23" s="208">
        <v>359</v>
      </c>
      <c r="C23" s="852" t="s">
        <v>799</v>
      </c>
      <c r="D23" s="854"/>
    </row>
    <row r="24" spans="1:4" ht="15.75" thickBot="1">
      <c r="B24" s="208"/>
      <c r="C24" s="203"/>
      <c r="D24" s="854"/>
    </row>
    <row r="25" spans="1:4">
      <c r="A25" s="556" t="s">
        <v>800</v>
      </c>
      <c r="B25" s="846"/>
      <c r="C25" s="204"/>
      <c r="D25" s="854"/>
    </row>
    <row r="26" spans="1:4" ht="15" customHeight="1">
      <c r="B26" s="208"/>
      <c r="C26" s="203"/>
      <c r="D26" s="854"/>
    </row>
    <row r="27" spans="1:4">
      <c r="A27" s="546" t="s">
        <v>801</v>
      </c>
      <c r="B27" s="208">
        <v>390</v>
      </c>
      <c r="C27" s="203">
        <v>1.0800000000000001E-2</v>
      </c>
      <c r="D27" s="854"/>
    </row>
    <row r="28" spans="1:4">
      <c r="A28" s="546" t="s">
        <v>802</v>
      </c>
      <c r="B28" s="208">
        <v>391</v>
      </c>
      <c r="C28" s="203">
        <v>2.1299999999999999E-2</v>
      </c>
      <c r="D28" s="854"/>
    </row>
    <row r="29" spans="1:4">
      <c r="A29" s="546" t="s">
        <v>803</v>
      </c>
      <c r="B29" s="208">
        <v>393</v>
      </c>
      <c r="C29" s="203">
        <v>1.78E-2</v>
      </c>
      <c r="D29" s="854"/>
    </row>
    <row r="30" spans="1:4" ht="15" customHeight="1">
      <c r="A30" s="546" t="s">
        <v>804</v>
      </c>
      <c r="B30" s="208">
        <v>394</v>
      </c>
      <c r="C30" s="203">
        <v>1.6500000000000001E-2</v>
      </c>
      <c r="D30" s="854"/>
    </row>
    <row r="31" spans="1:4">
      <c r="A31" s="546" t="s">
        <v>806</v>
      </c>
      <c r="B31" s="208">
        <v>397</v>
      </c>
      <c r="C31" s="203">
        <v>5.0900000000000001E-2</v>
      </c>
      <c r="D31" s="854"/>
    </row>
    <row r="32" spans="1:4">
      <c r="A32" s="546" t="s">
        <v>807</v>
      </c>
      <c r="B32" s="208">
        <v>398</v>
      </c>
      <c r="C32" s="203">
        <v>2.76E-2</v>
      </c>
      <c r="D32" s="854"/>
    </row>
    <row r="33" spans="1:4">
      <c r="B33" s="208"/>
      <c r="C33" s="203"/>
      <c r="D33" s="854"/>
    </row>
    <row r="34" spans="1:4">
      <c r="B34" s="208"/>
      <c r="C34" s="203"/>
      <c r="D34" s="854"/>
    </row>
    <row r="35" spans="1:4">
      <c r="B35" s="208"/>
      <c r="C35" s="203"/>
      <c r="D35" s="854"/>
    </row>
    <row r="36" spans="1:4">
      <c r="A36" s="853"/>
      <c r="B36" s="841"/>
      <c r="C36" s="203"/>
    </row>
    <row r="37" spans="1:4" ht="15" customHeight="1">
      <c r="A37" s="1344" t="s">
        <v>1162</v>
      </c>
      <c r="B37" s="1344"/>
      <c r="C37" s="1344"/>
      <c r="D37" s="1344"/>
    </row>
    <row r="38" spans="1:4" ht="15.75">
      <c r="B38" s="847"/>
      <c r="C38" s="211"/>
    </row>
    <row r="39" spans="1:4">
      <c r="A39" s="1344"/>
      <c r="B39" s="1344"/>
      <c r="C39" s="1344"/>
      <c r="D39" s="1344"/>
    </row>
    <row r="40" spans="1:4" ht="15.75">
      <c r="A40" s="849" t="s">
        <v>797</v>
      </c>
      <c r="B40" s="841"/>
      <c r="C40" s="203"/>
    </row>
    <row r="41" spans="1:4">
      <c r="A41" s="1347" t="s">
        <v>816</v>
      </c>
      <c r="B41" s="1347"/>
      <c r="C41" s="1347"/>
      <c r="D41" s="993"/>
    </row>
    <row r="42" spans="1:4">
      <c r="A42" s="1347"/>
      <c r="B42" s="1347"/>
      <c r="C42" s="1347"/>
      <c r="D42" s="993"/>
    </row>
    <row r="43" spans="1:4">
      <c r="A43" s="1347"/>
      <c r="B43" s="1347"/>
      <c r="C43" s="1347"/>
      <c r="D43" s="993"/>
    </row>
    <row r="44" spans="1:4">
      <c r="A44" s="1347"/>
      <c r="B44" s="1347"/>
      <c r="C44" s="1347"/>
      <c r="D44" s="993"/>
    </row>
    <row r="45" spans="1:4">
      <c r="A45" s="1347"/>
      <c r="B45" s="1347"/>
      <c r="C45" s="1347"/>
      <c r="D45" s="993"/>
    </row>
  </sheetData>
  <mergeCells count="10">
    <mergeCell ref="A37:D37"/>
    <mergeCell ref="A39:D39"/>
    <mergeCell ref="A41:C45"/>
    <mergeCell ref="A10:C10"/>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57"/>
  <sheetViews>
    <sheetView tabSelected="1" view="pageBreakPreview" zoomScale="60" zoomScaleNormal="100" workbookViewId="0">
      <selection activeCell="D3" sqref="D3"/>
    </sheetView>
  </sheetViews>
  <sheetFormatPr defaultRowHeight="12.75"/>
  <cols>
    <col min="1" max="1" width="28.42578125" customWidth="1"/>
    <col min="4" max="4" width="28.85546875" customWidth="1"/>
    <col min="6" max="6" width="20.5703125" customWidth="1"/>
    <col min="8" max="8" width="21.42578125" customWidth="1"/>
    <col min="9" max="9" width="14.85546875" customWidth="1"/>
    <col min="11" max="11" width="18.85546875" customWidth="1"/>
  </cols>
  <sheetData>
    <row r="1" spans="1:11" ht="15.75">
      <c r="A1" s="1348" t="s">
        <v>387</v>
      </c>
      <c r="B1" s="1348"/>
      <c r="C1" s="1348"/>
      <c r="D1" s="1348"/>
      <c r="E1" s="1348"/>
      <c r="F1" s="1348"/>
      <c r="G1" s="1348"/>
      <c r="H1" s="1348"/>
      <c r="I1" s="1348"/>
      <c r="J1" s="1348"/>
      <c r="K1" s="1348"/>
    </row>
    <row r="2" spans="1:11" ht="15.75">
      <c r="A2" s="1349" t="s">
        <v>566</v>
      </c>
      <c r="B2" s="1349"/>
      <c r="C2" s="1349"/>
      <c r="D2" s="1349"/>
      <c r="E2" s="1349"/>
      <c r="F2" s="1349"/>
      <c r="G2" s="1349"/>
      <c r="H2" s="1349"/>
      <c r="I2" s="1349"/>
      <c r="J2" s="1349"/>
      <c r="K2" s="1349"/>
    </row>
    <row r="3" spans="1:11" ht="15.75">
      <c r="A3" s="1349" t="s">
        <v>567</v>
      </c>
      <c r="B3" s="1349"/>
      <c r="C3" s="1349"/>
      <c r="D3" s="1349"/>
      <c r="E3" s="1349"/>
      <c r="F3" s="1349"/>
      <c r="G3" s="1349"/>
      <c r="H3" s="1349"/>
      <c r="I3" s="1349"/>
      <c r="J3" s="1349"/>
      <c r="K3" s="1349"/>
    </row>
    <row r="4" spans="1:11" ht="15.75">
      <c r="A4" s="11"/>
      <c r="B4" s="11"/>
      <c r="C4" s="11"/>
      <c r="D4" s="1349"/>
      <c r="E4" s="1349"/>
      <c r="F4" s="1349"/>
      <c r="G4" s="1349"/>
      <c r="H4" s="11"/>
      <c r="I4" s="11"/>
      <c r="J4" s="11"/>
      <c r="K4" s="11"/>
    </row>
    <row r="7" spans="1:11" ht="16.5" thickBot="1">
      <c r="A7" s="562"/>
      <c r="B7" s="563"/>
      <c r="C7" s="563"/>
      <c r="D7" s="563"/>
      <c r="E7" s="563"/>
      <c r="F7" s="563"/>
      <c r="G7" s="563"/>
      <c r="H7" s="563"/>
      <c r="I7" s="563"/>
      <c r="J7" s="563"/>
      <c r="K7" s="563"/>
    </row>
    <row r="8" spans="1:11" ht="47.25">
      <c r="A8" s="564" t="str">
        <f>"Reconciliation Revenue Requirement For Year 2018 Available May 25, 2019"</f>
        <v>Reconciliation Revenue Requirement For Year 2018 Available May 25, 2019</v>
      </c>
      <c r="B8" s="563"/>
      <c r="C8" s="563"/>
      <c r="D8" s="564" t="s">
        <v>1008</v>
      </c>
      <c r="E8" s="563"/>
      <c r="F8" s="563"/>
      <c r="G8" s="11"/>
      <c r="H8" s="564" t="s">
        <v>547</v>
      </c>
      <c r="I8" s="11"/>
      <c r="J8" s="11"/>
      <c r="K8" s="11"/>
    </row>
    <row r="9" spans="1:11" ht="15.75">
      <c r="A9" s="565" t="s">
        <v>114</v>
      </c>
      <c r="B9" s="563"/>
      <c r="C9" s="563"/>
      <c r="D9" s="565"/>
      <c r="E9" s="563"/>
      <c r="F9" s="563"/>
      <c r="G9" s="11"/>
      <c r="H9" s="566"/>
      <c r="I9" s="11"/>
      <c r="J9" s="11"/>
      <c r="K9" s="11"/>
    </row>
    <row r="10" spans="1:11" ht="16.5" thickBot="1">
      <c r="A10" s="645">
        <v>0</v>
      </c>
      <c r="B10" s="567" t="str">
        <f>"-"</f>
        <v>-</v>
      </c>
      <c r="C10" s="568"/>
      <c r="D10" s="645">
        <v>0</v>
      </c>
      <c r="E10" s="569"/>
      <c r="F10" s="570" t="str">
        <f>"="</f>
        <v>=</v>
      </c>
      <c r="G10" s="571"/>
      <c r="H10" s="572">
        <f>IF(A10=0,0,D10-A10)</f>
        <v>0</v>
      </c>
      <c r="I10" s="11"/>
      <c r="J10" s="11"/>
      <c r="K10" s="11"/>
    </row>
    <row r="11" spans="1:11" ht="15.75">
      <c r="A11" s="573"/>
      <c r="B11" s="574"/>
      <c r="C11" s="574"/>
      <c r="D11" s="573"/>
      <c r="E11" s="573"/>
      <c r="F11" s="574"/>
      <c r="G11" s="573"/>
      <c r="H11" s="11"/>
      <c r="I11" s="11"/>
      <c r="J11" s="11"/>
      <c r="K11" s="11"/>
    </row>
    <row r="12" spans="1:11" ht="16.5" thickBot="1">
      <c r="A12" s="575"/>
      <c r="B12" s="576"/>
      <c r="C12" s="576"/>
      <c r="D12" s="575"/>
      <c r="E12" s="575"/>
      <c r="F12" s="576"/>
      <c r="G12" s="575"/>
      <c r="H12" s="577"/>
      <c r="I12" s="577"/>
      <c r="J12" s="577"/>
      <c r="K12" s="577"/>
    </row>
    <row r="13" spans="1:11" ht="15.75">
      <c r="A13" s="578"/>
      <c r="B13" s="574"/>
      <c r="C13" s="574"/>
      <c r="D13" s="573"/>
      <c r="E13" s="573"/>
      <c r="F13" s="574"/>
      <c r="G13" s="573"/>
      <c r="H13" s="11"/>
      <c r="I13" s="11"/>
      <c r="J13" s="11"/>
      <c r="K13" s="11"/>
    </row>
    <row r="14" spans="1:11" ht="31.5">
      <c r="A14" s="579" t="s">
        <v>548</v>
      </c>
      <c r="B14" s="574"/>
      <c r="C14" s="574"/>
      <c r="D14" s="580" t="s">
        <v>549</v>
      </c>
      <c r="E14" s="573"/>
      <c r="F14" s="580" t="s">
        <v>550</v>
      </c>
      <c r="G14" s="581" t="s">
        <v>551</v>
      </c>
      <c r="H14" s="582" t="s">
        <v>552</v>
      </c>
      <c r="I14" s="580" t="s">
        <v>553</v>
      </c>
      <c r="J14" s="583"/>
      <c r="K14" s="580" t="s">
        <v>554</v>
      </c>
    </row>
    <row r="15" spans="1:11" ht="15.75">
      <c r="A15" s="579" t="s">
        <v>555</v>
      </c>
      <c r="B15" s="574"/>
      <c r="C15" s="574"/>
      <c r="D15" s="11"/>
      <c r="E15" s="584"/>
      <c r="F15" s="1057">
        <v>4.0949999999999997E-3</v>
      </c>
      <c r="H15" s="11"/>
      <c r="I15" s="11"/>
      <c r="J15" s="11"/>
      <c r="K15" s="11"/>
    </row>
    <row r="16" spans="1:11" ht="15.75">
      <c r="A16" s="579"/>
      <c r="B16" s="574"/>
      <c r="C16" s="574"/>
      <c r="D16" s="11"/>
      <c r="E16" s="584"/>
      <c r="F16" s="584"/>
      <c r="G16" s="573"/>
      <c r="H16" s="11"/>
      <c r="I16" s="11"/>
      <c r="J16" s="11"/>
      <c r="K16" s="11"/>
    </row>
    <row r="17" spans="1:11" ht="15.75">
      <c r="A17" s="579" t="s">
        <v>1009</v>
      </c>
      <c r="B17" s="574"/>
      <c r="C17" s="574"/>
      <c r="D17" s="11"/>
      <c r="E17" s="584"/>
      <c r="F17" s="584"/>
      <c r="G17" s="573"/>
      <c r="H17" s="11"/>
      <c r="I17" s="11"/>
      <c r="J17" s="11"/>
      <c r="K17" s="11"/>
    </row>
    <row r="18" spans="1:11" ht="15.75">
      <c r="A18" s="585" t="s">
        <v>114</v>
      </c>
      <c r="B18" s="574"/>
      <c r="C18" s="574"/>
      <c r="D18" s="574"/>
      <c r="E18" s="574"/>
      <c r="F18" s="574" t="s">
        <v>114</v>
      </c>
      <c r="G18" s="11"/>
      <c r="H18" s="11"/>
      <c r="I18" s="11"/>
      <c r="J18" s="11"/>
      <c r="K18" s="11"/>
    </row>
    <row r="19" spans="1:11" ht="15.75">
      <c r="A19" s="586"/>
      <c r="B19" s="574"/>
      <c r="C19" s="574"/>
      <c r="D19" s="574"/>
      <c r="E19" s="574"/>
      <c r="F19" s="11"/>
      <c r="G19" s="11"/>
      <c r="H19" s="581"/>
      <c r="I19" s="574"/>
      <c r="J19" s="574"/>
      <c r="K19" s="574"/>
    </row>
    <row r="20" spans="1:11" ht="15.75">
      <c r="A20" s="586" t="s">
        <v>556</v>
      </c>
      <c r="B20" s="574"/>
      <c r="C20" s="574"/>
      <c r="D20" s="574"/>
      <c r="E20" s="574"/>
      <c r="F20" s="11"/>
      <c r="G20" s="11"/>
      <c r="H20" s="581" t="s">
        <v>557</v>
      </c>
      <c r="I20" s="574"/>
      <c r="J20" s="574"/>
      <c r="K20" s="574"/>
    </row>
    <row r="21" spans="1:11" ht="15.75">
      <c r="A21" s="563" t="s">
        <v>185</v>
      </c>
      <c r="B21" s="563" t="str">
        <f>"Year 2018"</f>
        <v>Year 2018</v>
      </c>
      <c r="C21" s="563"/>
      <c r="D21" s="587">
        <f>H10/12</f>
        <v>0</v>
      </c>
      <c r="E21" s="587"/>
      <c r="F21" s="588">
        <f>+F15</f>
        <v>4.0949999999999997E-3</v>
      </c>
      <c r="G21" s="563">
        <v>12</v>
      </c>
      <c r="H21" s="587">
        <f>F21*D21*G21*-1</f>
        <v>0</v>
      </c>
      <c r="I21" s="587"/>
      <c r="J21" s="587"/>
      <c r="K21" s="587">
        <f>(-H21+D21)*-1</f>
        <v>0</v>
      </c>
    </row>
    <row r="22" spans="1:11" ht="15.75">
      <c r="A22" s="563" t="s">
        <v>558</v>
      </c>
      <c r="B22" s="563" t="str">
        <f>B21</f>
        <v>Year 2018</v>
      </c>
      <c r="C22" s="563"/>
      <c r="D22" s="587">
        <f>+D21</f>
        <v>0</v>
      </c>
      <c r="E22" s="587"/>
      <c r="F22" s="588">
        <f>+F21</f>
        <v>4.0949999999999997E-3</v>
      </c>
      <c r="G22" s="563">
        <f t="shared" ref="G22:G32" si="0">+G21-1</f>
        <v>11</v>
      </c>
      <c r="H22" s="587">
        <f t="shared" ref="H22:H32" si="1">F22*D22*G22*-1</f>
        <v>0</v>
      </c>
      <c r="I22" s="587"/>
      <c r="J22" s="587"/>
      <c r="K22" s="587">
        <f t="shared" ref="K22:K32" si="2">(-H22+D22)*-1</f>
        <v>0</v>
      </c>
    </row>
    <row r="23" spans="1:11" ht="15.75">
      <c r="A23" s="563" t="s">
        <v>186</v>
      </c>
      <c r="B23" s="563" t="str">
        <f t="shared" ref="B23:B32" si="3">B22</f>
        <v>Year 2018</v>
      </c>
      <c r="C23" s="563"/>
      <c r="D23" s="587">
        <f t="shared" ref="D23:D32" si="4">+D22</f>
        <v>0</v>
      </c>
      <c r="E23" s="587"/>
      <c r="F23" s="588">
        <f t="shared" ref="F23:F32" si="5">+F22</f>
        <v>4.0949999999999997E-3</v>
      </c>
      <c r="G23" s="563">
        <f t="shared" si="0"/>
        <v>10</v>
      </c>
      <c r="H23" s="587">
        <f t="shared" si="1"/>
        <v>0</v>
      </c>
      <c r="I23" s="587"/>
      <c r="J23" s="587"/>
      <c r="K23" s="587">
        <f t="shared" si="2"/>
        <v>0</v>
      </c>
    </row>
    <row r="24" spans="1:11" ht="15.75">
      <c r="A24" s="563" t="s">
        <v>187</v>
      </c>
      <c r="B24" s="563" t="str">
        <f t="shared" si="3"/>
        <v>Year 2018</v>
      </c>
      <c r="C24" s="563"/>
      <c r="D24" s="587">
        <f t="shared" si="4"/>
        <v>0</v>
      </c>
      <c r="E24" s="587"/>
      <c r="F24" s="588">
        <f t="shared" si="5"/>
        <v>4.0949999999999997E-3</v>
      </c>
      <c r="G24" s="563">
        <f t="shared" si="0"/>
        <v>9</v>
      </c>
      <c r="H24" s="587">
        <f t="shared" si="1"/>
        <v>0</v>
      </c>
      <c r="I24" s="587"/>
      <c r="J24" s="587"/>
      <c r="K24" s="587">
        <f t="shared" si="2"/>
        <v>0</v>
      </c>
    </row>
    <row r="25" spans="1:11" ht="15.75">
      <c r="A25" s="563" t="s">
        <v>188</v>
      </c>
      <c r="B25" s="563" t="str">
        <f t="shared" si="3"/>
        <v>Year 2018</v>
      </c>
      <c r="C25" s="563"/>
      <c r="D25" s="587">
        <f t="shared" si="4"/>
        <v>0</v>
      </c>
      <c r="E25" s="587"/>
      <c r="F25" s="588">
        <f t="shared" si="5"/>
        <v>4.0949999999999997E-3</v>
      </c>
      <c r="G25" s="563">
        <f t="shared" si="0"/>
        <v>8</v>
      </c>
      <c r="H25" s="587">
        <f t="shared" si="1"/>
        <v>0</v>
      </c>
      <c r="I25" s="587"/>
      <c r="J25" s="587"/>
      <c r="K25" s="587">
        <f t="shared" si="2"/>
        <v>0</v>
      </c>
    </row>
    <row r="26" spans="1:11" ht="15.75">
      <c r="A26" s="563" t="s">
        <v>382</v>
      </c>
      <c r="B26" s="563" t="str">
        <f t="shared" si="3"/>
        <v>Year 2018</v>
      </c>
      <c r="C26" s="563"/>
      <c r="D26" s="587">
        <f t="shared" si="4"/>
        <v>0</v>
      </c>
      <c r="E26" s="587"/>
      <c r="F26" s="588">
        <f t="shared" si="5"/>
        <v>4.0949999999999997E-3</v>
      </c>
      <c r="G26" s="563">
        <f t="shared" si="0"/>
        <v>7</v>
      </c>
      <c r="H26" s="587">
        <f t="shared" si="1"/>
        <v>0</v>
      </c>
      <c r="I26" s="587"/>
      <c r="J26" s="587"/>
      <c r="K26" s="587">
        <f t="shared" si="2"/>
        <v>0</v>
      </c>
    </row>
    <row r="27" spans="1:11" ht="15.75">
      <c r="A27" s="563" t="s">
        <v>189</v>
      </c>
      <c r="B27" s="563" t="str">
        <f t="shared" si="3"/>
        <v>Year 2018</v>
      </c>
      <c r="C27" s="563"/>
      <c r="D27" s="587">
        <f t="shared" si="4"/>
        <v>0</v>
      </c>
      <c r="E27" s="587"/>
      <c r="F27" s="588">
        <f t="shared" si="5"/>
        <v>4.0949999999999997E-3</v>
      </c>
      <c r="G27" s="563">
        <f t="shared" si="0"/>
        <v>6</v>
      </c>
      <c r="H27" s="587">
        <f t="shared" si="1"/>
        <v>0</v>
      </c>
      <c r="I27" s="587"/>
      <c r="J27" s="587"/>
      <c r="K27" s="587">
        <f t="shared" si="2"/>
        <v>0</v>
      </c>
    </row>
    <row r="28" spans="1:11" ht="15.75">
      <c r="A28" s="563" t="s">
        <v>190</v>
      </c>
      <c r="B28" s="563" t="str">
        <f t="shared" si="3"/>
        <v>Year 2018</v>
      </c>
      <c r="C28" s="563"/>
      <c r="D28" s="587">
        <f t="shared" si="4"/>
        <v>0</v>
      </c>
      <c r="E28" s="587"/>
      <c r="F28" s="588">
        <f t="shared" si="5"/>
        <v>4.0949999999999997E-3</v>
      </c>
      <c r="G28" s="563">
        <f t="shared" si="0"/>
        <v>5</v>
      </c>
      <c r="H28" s="587">
        <f t="shared" si="1"/>
        <v>0</v>
      </c>
      <c r="I28" s="587"/>
      <c r="J28" s="587"/>
      <c r="K28" s="587">
        <f t="shared" si="2"/>
        <v>0</v>
      </c>
    </row>
    <row r="29" spans="1:11" ht="15.75">
      <c r="A29" s="563" t="s">
        <v>192</v>
      </c>
      <c r="B29" s="563" t="str">
        <f t="shared" si="3"/>
        <v>Year 2018</v>
      </c>
      <c r="C29" s="563"/>
      <c r="D29" s="587">
        <f t="shared" si="4"/>
        <v>0</v>
      </c>
      <c r="E29" s="587"/>
      <c r="F29" s="588">
        <f t="shared" si="5"/>
        <v>4.0949999999999997E-3</v>
      </c>
      <c r="G29" s="563">
        <f t="shared" si="0"/>
        <v>4</v>
      </c>
      <c r="H29" s="587">
        <f t="shared" si="1"/>
        <v>0</v>
      </c>
      <c r="I29" s="587"/>
      <c r="J29" s="587"/>
      <c r="K29" s="587">
        <f t="shared" si="2"/>
        <v>0</v>
      </c>
    </row>
    <row r="30" spans="1:11" ht="15.75">
      <c r="A30" s="563" t="s">
        <v>559</v>
      </c>
      <c r="B30" s="563" t="str">
        <f t="shared" si="3"/>
        <v>Year 2018</v>
      </c>
      <c r="C30" s="563"/>
      <c r="D30" s="587">
        <f t="shared" si="4"/>
        <v>0</v>
      </c>
      <c r="E30" s="587"/>
      <c r="F30" s="588">
        <f t="shared" si="5"/>
        <v>4.0949999999999997E-3</v>
      </c>
      <c r="G30" s="563">
        <f t="shared" si="0"/>
        <v>3</v>
      </c>
      <c r="H30" s="587">
        <f t="shared" si="1"/>
        <v>0</v>
      </c>
      <c r="I30" s="587"/>
      <c r="J30" s="587"/>
      <c r="K30" s="587">
        <f t="shared" si="2"/>
        <v>0</v>
      </c>
    </row>
    <row r="31" spans="1:11" ht="15.75">
      <c r="A31" s="563" t="s">
        <v>560</v>
      </c>
      <c r="B31" s="563" t="str">
        <f t="shared" si="3"/>
        <v>Year 2018</v>
      </c>
      <c r="C31" s="563"/>
      <c r="D31" s="587">
        <f t="shared" si="4"/>
        <v>0</v>
      </c>
      <c r="E31" s="587"/>
      <c r="F31" s="588">
        <f t="shared" si="5"/>
        <v>4.0949999999999997E-3</v>
      </c>
      <c r="G31" s="563">
        <f t="shared" si="0"/>
        <v>2</v>
      </c>
      <c r="H31" s="587">
        <f t="shared" si="1"/>
        <v>0</v>
      </c>
      <c r="I31" s="587"/>
      <c r="J31" s="587"/>
      <c r="K31" s="587">
        <f t="shared" si="2"/>
        <v>0</v>
      </c>
    </row>
    <row r="32" spans="1:11" ht="15.75">
      <c r="A32" s="563" t="s">
        <v>191</v>
      </c>
      <c r="B32" s="563" t="str">
        <f t="shared" si="3"/>
        <v>Year 2018</v>
      </c>
      <c r="C32" s="563"/>
      <c r="D32" s="587">
        <f t="shared" si="4"/>
        <v>0</v>
      </c>
      <c r="E32" s="587"/>
      <c r="F32" s="588">
        <f t="shared" si="5"/>
        <v>4.0949999999999997E-3</v>
      </c>
      <c r="G32" s="563">
        <f t="shared" si="0"/>
        <v>1</v>
      </c>
      <c r="H32" s="589">
        <f t="shared" si="1"/>
        <v>0</v>
      </c>
      <c r="I32" s="587"/>
      <c r="J32" s="587"/>
      <c r="K32" s="587">
        <f t="shared" si="2"/>
        <v>0</v>
      </c>
    </row>
    <row r="33" spans="1:11" ht="15.75">
      <c r="A33" s="563"/>
      <c r="B33" s="563"/>
      <c r="C33" s="563"/>
      <c r="D33" s="587"/>
      <c r="E33" s="587"/>
      <c r="F33" s="588"/>
      <c r="G33" s="563"/>
      <c r="H33" s="587">
        <f>SUM(H21:H32)</f>
        <v>0</v>
      </c>
      <c r="I33" s="587"/>
      <c r="J33" s="587"/>
      <c r="K33" s="590">
        <f>SUM(K21:K32)</f>
        <v>0</v>
      </c>
    </row>
    <row r="34" spans="1:11" ht="15.75">
      <c r="A34" s="563"/>
      <c r="B34" s="563"/>
      <c r="C34" s="563"/>
      <c r="D34" s="587"/>
      <c r="E34" s="587"/>
      <c r="F34" s="588"/>
      <c r="G34" s="563"/>
      <c r="H34" s="587"/>
      <c r="I34" s="587" t="s">
        <v>114</v>
      </c>
      <c r="J34" s="587"/>
      <c r="K34" s="11"/>
    </row>
    <row r="35" spans="1:11" ht="15.75">
      <c r="A35" s="563"/>
      <c r="B35" s="563"/>
      <c r="C35" s="563"/>
      <c r="D35" s="573"/>
      <c r="E35" s="573"/>
      <c r="F35" s="588"/>
      <c r="G35" s="563"/>
      <c r="H35" s="591" t="s">
        <v>561</v>
      </c>
      <c r="I35" s="587"/>
      <c r="J35" s="587"/>
      <c r="K35" s="587"/>
    </row>
    <row r="36" spans="1:11" ht="15.75">
      <c r="A36" s="563" t="s">
        <v>562</v>
      </c>
      <c r="B36" s="563" t="str">
        <f>"Year 2019"</f>
        <v>Year 2019</v>
      </c>
      <c r="C36" s="563"/>
      <c r="D36" s="573">
        <f>K33</f>
        <v>0</v>
      </c>
      <c r="E36" s="573"/>
      <c r="F36" s="588">
        <f>+F32</f>
        <v>4.0949999999999997E-3</v>
      </c>
      <c r="G36" s="563">
        <v>12</v>
      </c>
      <c r="H36" s="587">
        <f>+G36*F36*D36</f>
        <v>0</v>
      </c>
      <c r="I36" s="587"/>
      <c r="J36" s="587"/>
      <c r="K36" s="590">
        <f>+D36+H36</f>
        <v>0</v>
      </c>
    </row>
    <row r="37" spans="1:11" ht="15.75">
      <c r="A37" s="563"/>
      <c r="B37" s="563"/>
      <c r="C37" s="563"/>
      <c r="D37" s="573"/>
      <c r="E37" s="573"/>
      <c r="F37" s="588"/>
      <c r="G37" s="563"/>
      <c r="H37" s="587"/>
      <c r="I37" s="587"/>
      <c r="J37" s="587"/>
      <c r="K37" s="587"/>
    </row>
    <row r="38" spans="1:11" ht="15.75">
      <c r="A38" s="592" t="s">
        <v>563</v>
      </c>
      <c r="B38" s="563"/>
      <c r="C38" s="563"/>
      <c r="D38" s="587"/>
      <c r="E38" s="587"/>
      <c r="F38" s="588"/>
      <c r="G38" s="563"/>
      <c r="H38" s="591" t="s">
        <v>557</v>
      </c>
      <c r="I38" s="587"/>
      <c r="J38" s="587"/>
      <c r="K38" s="587"/>
    </row>
    <row r="39" spans="1:11" ht="15.75">
      <c r="A39" s="563" t="s">
        <v>185</v>
      </c>
      <c r="B39" s="563" t="str">
        <f>"Year 2020"</f>
        <v>Year 2020</v>
      </c>
      <c r="C39" s="563"/>
      <c r="D39" s="593">
        <f>-K36</f>
        <v>0</v>
      </c>
      <c r="E39" s="573"/>
      <c r="F39" s="588">
        <f>+F32</f>
        <v>4.0949999999999997E-3</v>
      </c>
      <c r="G39" s="563"/>
      <c r="H39" s="587">
        <f xml:space="preserve"> -F39*D39</f>
        <v>0</v>
      </c>
      <c r="I39" s="587">
        <f>PMT(F39,12,K$36)</f>
        <v>0</v>
      </c>
      <c r="J39" s="587"/>
      <c r="K39" s="587">
        <f>(+D39+D39*F39-I39)*-1</f>
        <v>0</v>
      </c>
    </row>
    <row r="40" spans="1:11" ht="15.75">
      <c r="A40" s="563" t="s">
        <v>558</v>
      </c>
      <c r="B40" s="563" t="str">
        <f>+B39</f>
        <v>Year 2020</v>
      </c>
      <c r="C40" s="563"/>
      <c r="D40" s="573">
        <f>-K39</f>
        <v>0</v>
      </c>
      <c r="E40" s="573"/>
      <c r="F40" s="588">
        <f>+F39</f>
        <v>4.0949999999999997E-3</v>
      </c>
      <c r="G40" s="563"/>
      <c r="H40" s="587">
        <f xml:space="preserve"> -F40*D40</f>
        <v>0</v>
      </c>
      <c r="I40" s="587">
        <f>I39</f>
        <v>0</v>
      </c>
      <c r="J40" s="587"/>
      <c r="K40" s="587">
        <f t="shared" ref="K40:K50" si="6">(+D40+D40*F40-I40)*-1</f>
        <v>0</v>
      </c>
    </row>
    <row r="41" spans="1:11" ht="15.75">
      <c r="A41" s="563" t="s">
        <v>186</v>
      </c>
      <c r="B41" s="563" t="str">
        <f>+B40</f>
        <v>Year 2020</v>
      </c>
      <c r="C41" s="563"/>
      <c r="D41" s="573">
        <f t="shared" ref="D41:D50" si="7">-K40</f>
        <v>0</v>
      </c>
      <c r="E41" s="573"/>
      <c r="F41" s="588">
        <f t="shared" ref="F41:F50" si="8">+F40</f>
        <v>4.0949999999999997E-3</v>
      </c>
      <c r="G41" s="563"/>
      <c r="H41" s="587">
        <f t="shared" ref="H41:H50" si="9" xml:space="preserve"> -F41*D41</f>
        <v>0</v>
      </c>
      <c r="I41" s="587">
        <f t="shared" ref="I41:I50" si="10">I40</f>
        <v>0</v>
      </c>
      <c r="J41" s="587"/>
      <c r="K41" s="587">
        <f t="shared" si="6"/>
        <v>0</v>
      </c>
    </row>
    <row r="42" spans="1:11" ht="15.75">
      <c r="A42" s="563" t="s">
        <v>187</v>
      </c>
      <c r="B42" s="563" t="str">
        <f>+B41</f>
        <v>Year 2020</v>
      </c>
      <c r="C42" s="563"/>
      <c r="D42" s="573">
        <f t="shared" si="7"/>
        <v>0</v>
      </c>
      <c r="E42" s="573"/>
      <c r="F42" s="588">
        <f t="shared" si="8"/>
        <v>4.0949999999999997E-3</v>
      </c>
      <c r="G42" s="563"/>
      <c r="H42" s="587">
        <f t="shared" si="9"/>
        <v>0</v>
      </c>
      <c r="I42" s="587">
        <f t="shared" si="10"/>
        <v>0</v>
      </c>
      <c r="J42" s="587"/>
      <c r="K42" s="587">
        <f t="shared" si="6"/>
        <v>0</v>
      </c>
    </row>
    <row r="43" spans="1:11" ht="15.75">
      <c r="A43" s="563" t="s">
        <v>188</v>
      </c>
      <c r="B43" s="563" t="str">
        <f>+B42</f>
        <v>Year 2020</v>
      </c>
      <c r="C43" s="563"/>
      <c r="D43" s="573">
        <f t="shared" si="7"/>
        <v>0</v>
      </c>
      <c r="E43" s="573"/>
      <c r="F43" s="588">
        <f t="shared" si="8"/>
        <v>4.0949999999999997E-3</v>
      </c>
      <c r="G43" s="563"/>
      <c r="H43" s="587">
        <f t="shared" si="9"/>
        <v>0</v>
      </c>
      <c r="I43" s="587">
        <f>I42</f>
        <v>0</v>
      </c>
      <c r="J43" s="587"/>
      <c r="K43" s="587">
        <f t="shared" si="6"/>
        <v>0</v>
      </c>
    </row>
    <row r="44" spans="1:11" ht="15.75">
      <c r="A44" s="563" t="s">
        <v>382</v>
      </c>
      <c r="B44" s="563" t="str">
        <f>B43</f>
        <v>Year 2020</v>
      </c>
      <c r="C44" s="11"/>
      <c r="D44" s="573">
        <f t="shared" si="7"/>
        <v>0</v>
      </c>
      <c r="E44" s="573"/>
      <c r="F44" s="588">
        <f t="shared" si="8"/>
        <v>4.0949999999999997E-3</v>
      </c>
      <c r="G44" s="563"/>
      <c r="H44" s="587">
        <f t="shared" si="9"/>
        <v>0</v>
      </c>
      <c r="I44" s="587">
        <f t="shared" si="10"/>
        <v>0</v>
      </c>
      <c r="J44" s="587"/>
      <c r="K44" s="587">
        <f t="shared" si="6"/>
        <v>0</v>
      </c>
    </row>
    <row r="45" spans="1:11" ht="15.75">
      <c r="A45" s="563" t="s">
        <v>189</v>
      </c>
      <c r="B45" s="563" t="str">
        <f t="shared" ref="B45:B50" si="11">+B44</f>
        <v>Year 2020</v>
      </c>
      <c r="C45" s="563"/>
      <c r="D45" s="573">
        <f t="shared" si="7"/>
        <v>0</v>
      </c>
      <c r="E45" s="573"/>
      <c r="F45" s="588">
        <f t="shared" si="8"/>
        <v>4.0949999999999997E-3</v>
      </c>
      <c r="G45" s="563"/>
      <c r="H45" s="587">
        <f t="shared" si="9"/>
        <v>0</v>
      </c>
      <c r="I45" s="587">
        <f t="shared" si="10"/>
        <v>0</v>
      </c>
      <c r="J45" s="587"/>
      <c r="K45" s="587">
        <f t="shared" si="6"/>
        <v>0</v>
      </c>
    </row>
    <row r="46" spans="1:11" ht="15.75">
      <c r="A46" s="563" t="s">
        <v>190</v>
      </c>
      <c r="B46" s="563" t="str">
        <f t="shared" si="11"/>
        <v>Year 2020</v>
      </c>
      <c r="C46" s="563"/>
      <c r="D46" s="573">
        <f t="shared" si="7"/>
        <v>0</v>
      </c>
      <c r="E46" s="573"/>
      <c r="F46" s="588">
        <f t="shared" si="8"/>
        <v>4.0949999999999997E-3</v>
      </c>
      <c r="G46" s="563"/>
      <c r="H46" s="587">
        <f t="shared" si="9"/>
        <v>0</v>
      </c>
      <c r="I46" s="587">
        <f t="shared" si="10"/>
        <v>0</v>
      </c>
      <c r="J46" s="587"/>
      <c r="K46" s="587">
        <f t="shared" si="6"/>
        <v>0</v>
      </c>
    </row>
    <row r="47" spans="1:11" ht="15.75">
      <c r="A47" s="563" t="s">
        <v>192</v>
      </c>
      <c r="B47" s="563" t="str">
        <f t="shared" si="11"/>
        <v>Year 2020</v>
      </c>
      <c r="C47" s="563"/>
      <c r="D47" s="573">
        <f t="shared" si="7"/>
        <v>0</v>
      </c>
      <c r="E47" s="573"/>
      <c r="F47" s="588">
        <f t="shared" si="8"/>
        <v>4.0949999999999997E-3</v>
      </c>
      <c r="G47" s="563"/>
      <c r="H47" s="587">
        <f t="shared" si="9"/>
        <v>0</v>
      </c>
      <c r="I47" s="587">
        <f>I46</f>
        <v>0</v>
      </c>
      <c r="J47" s="587"/>
      <c r="K47" s="587">
        <f t="shared" si="6"/>
        <v>0</v>
      </c>
    </row>
    <row r="48" spans="1:11" ht="15.75">
      <c r="A48" s="563" t="s">
        <v>559</v>
      </c>
      <c r="B48" s="563" t="str">
        <f t="shared" si="11"/>
        <v>Year 2020</v>
      </c>
      <c r="C48" s="563"/>
      <c r="D48" s="573">
        <f t="shared" si="7"/>
        <v>0</v>
      </c>
      <c r="E48" s="573"/>
      <c r="F48" s="588">
        <f t="shared" si="8"/>
        <v>4.0949999999999997E-3</v>
      </c>
      <c r="G48" s="563"/>
      <c r="H48" s="587">
        <f t="shared" si="9"/>
        <v>0</v>
      </c>
      <c r="I48" s="587">
        <f t="shared" si="10"/>
        <v>0</v>
      </c>
      <c r="J48" s="587"/>
      <c r="K48" s="587">
        <f t="shared" si="6"/>
        <v>0</v>
      </c>
    </row>
    <row r="49" spans="1:11" ht="15.75">
      <c r="A49" s="563" t="s">
        <v>560</v>
      </c>
      <c r="B49" s="563" t="str">
        <f t="shared" si="11"/>
        <v>Year 2020</v>
      </c>
      <c r="C49" s="563"/>
      <c r="D49" s="573">
        <f t="shared" si="7"/>
        <v>0</v>
      </c>
      <c r="E49" s="573"/>
      <c r="F49" s="588">
        <f t="shared" si="8"/>
        <v>4.0949999999999997E-3</v>
      </c>
      <c r="G49" s="563"/>
      <c r="H49" s="587">
        <f t="shared" si="9"/>
        <v>0</v>
      </c>
      <c r="I49" s="587">
        <f t="shared" si="10"/>
        <v>0</v>
      </c>
      <c r="J49" s="587"/>
      <c r="K49" s="587">
        <f t="shared" si="6"/>
        <v>0</v>
      </c>
    </row>
    <row r="50" spans="1:11" ht="15.75">
      <c r="A50" s="563" t="s">
        <v>191</v>
      </c>
      <c r="B50" s="563" t="str">
        <f t="shared" si="11"/>
        <v>Year 2020</v>
      </c>
      <c r="C50" s="563"/>
      <c r="D50" s="573">
        <f t="shared" si="7"/>
        <v>0</v>
      </c>
      <c r="E50" s="573"/>
      <c r="F50" s="588">
        <f t="shared" si="8"/>
        <v>4.0949999999999997E-3</v>
      </c>
      <c r="G50" s="563"/>
      <c r="H50" s="589">
        <f t="shared" si="9"/>
        <v>0</v>
      </c>
      <c r="I50" s="587">
        <f t="shared" si="10"/>
        <v>0</v>
      </c>
      <c r="J50" s="587"/>
      <c r="K50" s="587">
        <f t="shared" si="6"/>
        <v>0</v>
      </c>
    </row>
    <row r="51" spans="1:11" ht="15.75">
      <c r="A51" s="563"/>
      <c r="B51" s="563"/>
      <c r="C51" s="563"/>
      <c r="D51" s="573"/>
      <c r="E51" s="573"/>
      <c r="F51" s="588"/>
      <c r="G51" s="563"/>
      <c r="H51" s="587">
        <f>SUM(H39:H50)</f>
        <v>0</v>
      </c>
      <c r="I51" s="587"/>
      <c r="J51" s="587"/>
      <c r="K51" s="587"/>
    </row>
    <row r="52" spans="1:11" ht="15">
      <c r="A52" s="11"/>
      <c r="B52" s="11"/>
      <c r="C52" s="11"/>
      <c r="D52" s="11"/>
      <c r="E52" s="11"/>
      <c r="F52" s="11"/>
      <c r="G52" s="11"/>
      <c r="H52" s="11"/>
      <c r="I52" s="594"/>
      <c r="J52" s="11"/>
      <c r="K52" s="11"/>
    </row>
    <row r="53" spans="1:11" ht="15.75">
      <c r="A53" s="563" t="s">
        <v>568</v>
      </c>
      <c r="B53" s="11"/>
      <c r="C53" s="11"/>
      <c r="D53" s="11"/>
      <c r="E53" s="11"/>
      <c r="F53" s="11"/>
      <c r="G53" s="11"/>
      <c r="H53" s="11"/>
      <c r="I53" s="595">
        <f>(SUM(I39:I50)*-1)</f>
        <v>0</v>
      </c>
      <c r="J53" s="11"/>
      <c r="K53" s="11"/>
    </row>
    <row r="54" spans="1:11" ht="15.75">
      <c r="A54" s="563" t="s">
        <v>564</v>
      </c>
      <c r="B54" s="11"/>
      <c r="C54" s="11"/>
      <c r="D54" s="11"/>
      <c r="E54" s="11"/>
      <c r="F54" s="11"/>
      <c r="G54" s="11"/>
      <c r="H54" s="11"/>
      <c r="I54" s="596">
        <f>+H10</f>
        <v>0</v>
      </c>
      <c r="J54" s="11"/>
      <c r="K54" s="11"/>
    </row>
    <row r="55" spans="1:11" ht="15.75">
      <c r="A55" s="563" t="s">
        <v>565</v>
      </c>
      <c r="B55" s="11"/>
      <c r="C55" s="11"/>
      <c r="D55" s="11"/>
      <c r="E55" s="11"/>
      <c r="F55" s="11"/>
      <c r="G55" s="11"/>
      <c r="H55" s="11"/>
      <c r="I55" s="595">
        <f>(I53+I54)</f>
        <v>0</v>
      </c>
      <c r="J55" s="11"/>
      <c r="K55" s="11"/>
    </row>
    <row r="57" spans="1:11" ht="96" customHeight="1">
      <c r="A57" s="1350" t="s">
        <v>569</v>
      </c>
      <c r="B57" s="1350"/>
      <c r="C57" s="1350"/>
      <c r="D57" s="1350"/>
      <c r="E57" s="597"/>
      <c r="F57" s="597"/>
      <c r="G57" s="597"/>
      <c r="H57" s="597"/>
      <c r="I57" s="597"/>
      <c r="J57" s="597"/>
      <c r="K57" s="597"/>
    </row>
  </sheetData>
  <mergeCells count="5">
    <mergeCell ref="A1:K1"/>
    <mergeCell ref="A2:K2"/>
    <mergeCell ref="A3:K3"/>
    <mergeCell ref="D4:G4"/>
    <mergeCell ref="A57:D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118"/>
  <sheetViews>
    <sheetView tabSelected="1" view="pageBreakPreview" topLeftCell="A6" zoomScaleNormal="75" zoomScaleSheetLayoutView="100" workbookViewId="0">
      <selection activeCell="D3" sqref="D3"/>
    </sheetView>
  </sheetViews>
  <sheetFormatPr defaultColWidth="9.140625" defaultRowHeight="12.75"/>
  <cols>
    <col min="1" max="1" width="9.140625" style="15"/>
    <col min="2" max="2" width="0.85546875" style="24" customWidth="1"/>
    <col min="3" max="3" width="41.5703125" style="15" customWidth="1"/>
    <col min="4" max="4" width="34.42578125" style="15" bestFit="1" customWidth="1"/>
    <col min="5" max="5" width="23.140625" style="15" customWidth="1"/>
    <col min="6" max="6" width="3.140625" style="15" customWidth="1"/>
    <col min="7" max="7" width="24.5703125" style="15" customWidth="1"/>
    <col min="8" max="8" width="2.85546875" style="15" customWidth="1"/>
    <col min="9" max="9" width="20.85546875" style="15" customWidth="1"/>
    <col min="10" max="10" width="4.5703125" style="15" customWidth="1"/>
    <col min="11" max="11" width="18" style="15" bestFit="1" customWidth="1"/>
    <col min="12" max="12" width="20.42578125" style="15" customWidth="1"/>
    <col min="13" max="15" width="9.140625" style="15"/>
    <col min="16" max="16" width="10" style="15" bestFit="1" customWidth="1"/>
    <col min="17" max="17" width="17.5703125" style="15" customWidth="1"/>
    <col min="18" max="18" width="15.5703125" style="15" bestFit="1" customWidth="1"/>
    <col min="19" max="16384" width="9.140625" style="15"/>
  </cols>
  <sheetData>
    <row r="1" spans="1:15" ht="15.75">
      <c r="A1" s="651" t="s">
        <v>114</v>
      </c>
    </row>
    <row r="2" spans="1:15" ht="15.75">
      <c r="A2" s="651" t="s">
        <v>114</v>
      </c>
    </row>
    <row r="3" spans="1:15" ht="15">
      <c r="A3" s="1254" t="s">
        <v>387</v>
      </c>
      <c r="B3" s="1254"/>
      <c r="C3" s="1254"/>
      <c r="D3" s="1254"/>
      <c r="E3" s="1254"/>
      <c r="F3" s="1254"/>
      <c r="G3" s="1254"/>
      <c r="H3" s="1254"/>
      <c r="I3" s="1254"/>
      <c r="J3" s="28"/>
      <c r="K3" s="28"/>
    </row>
    <row r="4" spans="1:15" ht="15">
      <c r="A4" s="1255" t="str">
        <f>"Cost of Service Formula Rate Using Actual/Projected FF1 Balances"</f>
        <v>Cost of Service Formula Rate Using Actual/Projected FF1 Balances</v>
      </c>
      <c r="B4" s="1255"/>
      <c r="C4" s="1255"/>
      <c r="D4" s="1255"/>
      <c r="E4" s="1255"/>
      <c r="F4" s="1255"/>
      <c r="G4" s="1255"/>
      <c r="H4" s="1255"/>
      <c r="I4" s="1255"/>
      <c r="J4" s="73"/>
      <c r="K4" s="73"/>
    </row>
    <row r="5" spans="1:15" ht="15">
      <c r="A5" s="1255" t="s">
        <v>470</v>
      </c>
      <c r="B5" s="1255"/>
      <c r="C5" s="1255"/>
      <c r="D5" s="1255"/>
      <c r="E5" s="1255"/>
      <c r="F5" s="1255"/>
      <c r="G5" s="1255"/>
      <c r="H5" s="1255"/>
      <c r="I5" s="1255"/>
      <c r="J5" s="72"/>
      <c r="K5" s="72"/>
    </row>
    <row r="6" spans="1:15" ht="15">
      <c r="A6" s="1263" t="str">
        <f>TCOS!F9</f>
        <v>WHEELING POWER COMPANY</v>
      </c>
      <c r="B6" s="1263"/>
      <c r="C6" s="1263"/>
      <c r="D6" s="1263"/>
      <c r="E6" s="1263"/>
      <c r="F6" s="1263"/>
      <c r="G6" s="1263"/>
      <c r="H6" s="1263"/>
      <c r="I6" s="1263"/>
      <c r="J6" s="2"/>
      <c r="K6" s="2"/>
      <c r="L6"/>
      <c r="M6"/>
    </row>
    <row r="7" spans="1:15">
      <c r="C7" s="22"/>
      <c r="D7" s="22"/>
    </row>
    <row r="8" spans="1:15">
      <c r="C8" s="4" t="s">
        <v>162</v>
      </c>
      <c r="D8" s="4" t="s">
        <v>163</v>
      </c>
      <c r="E8" s="4" t="s">
        <v>164</v>
      </c>
      <c r="G8" s="4" t="s">
        <v>165</v>
      </c>
      <c r="I8" s="4" t="s">
        <v>84</v>
      </c>
      <c r="J8" s="4"/>
      <c r="K8" s="4"/>
      <c r="L8" s="4"/>
      <c r="M8"/>
      <c r="N8"/>
      <c r="O8"/>
    </row>
    <row r="9" spans="1:15">
      <c r="A9" s="71"/>
      <c r="I9" s="9"/>
      <c r="J9"/>
      <c r="K9"/>
      <c r="L9"/>
      <c r="M9"/>
      <c r="N9"/>
      <c r="O9"/>
    </row>
    <row r="10" spans="1:15" ht="12.75" customHeight="1">
      <c r="A10" s="8" t="s">
        <v>169</v>
      </c>
      <c r="C10" s="23"/>
      <c r="D10" s="23"/>
      <c r="E10" s="1261" t="str">
        <f>"Balance @ December 31, "&amp;TCOS!L4&amp;""</f>
        <v>Balance @ December 31, 2025</v>
      </c>
      <c r="F10" s="103"/>
      <c r="G10" s="1261" t="str">
        <f>"Balance @ December 31, "&amp;TCOS!L4-1&amp;""</f>
        <v>Balance @ December 31, 2024</v>
      </c>
      <c r="H10" s="103"/>
      <c r="I10" s="1264" t="str">
        <f>"Average Balance for "&amp;TCOS!L4&amp;""</f>
        <v>Average Balance for 2025</v>
      </c>
      <c r="J10"/>
      <c r="K10"/>
      <c r="L10"/>
      <c r="M10"/>
      <c r="N10"/>
      <c r="O10"/>
    </row>
    <row r="11" spans="1:15">
      <c r="A11" s="8" t="s">
        <v>106</v>
      </c>
      <c r="B11" s="7"/>
      <c r="C11" s="8" t="s">
        <v>167</v>
      </c>
      <c r="D11" s="8" t="s">
        <v>206</v>
      </c>
      <c r="E11" s="1262"/>
      <c r="F11" s="66"/>
      <c r="G11" s="1262"/>
      <c r="H11" s="173"/>
      <c r="I11" s="1262"/>
      <c r="J11"/>
      <c r="K11"/>
      <c r="L11"/>
      <c r="M11"/>
      <c r="N11"/>
      <c r="O11"/>
    </row>
    <row r="12" spans="1:15">
      <c r="A12" s="71"/>
      <c r="C12" s="22"/>
      <c r="D12" s="22"/>
      <c r="G12" s="184"/>
    </row>
    <row r="13" spans="1:15">
      <c r="A13" s="71"/>
      <c r="C13" s="22"/>
      <c r="D13" s="22"/>
    </row>
    <row r="14" spans="1:15">
      <c r="A14" s="71"/>
      <c r="C14" s="22"/>
      <c r="D14" s="22"/>
    </row>
    <row r="15" spans="1:15" ht="15.75">
      <c r="A15" s="71">
        <v>1</v>
      </c>
      <c r="C15" s="39" t="s">
        <v>508</v>
      </c>
      <c r="D15" s="39"/>
    </row>
    <row r="16" spans="1:15" ht="15.75">
      <c r="A16" s="71"/>
      <c r="C16" s="39"/>
      <c r="D16" s="39"/>
      <c r="H16"/>
    </row>
    <row r="17" spans="1:17">
      <c r="A17" s="71">
        <f>+A15+1</f>
        <v>2</v>
      </c>
      <c r="C17" s="47" t="s">
        <v>514</v>
      </c>
      <c r="D17" s="65" t="s">
        <v>516</v>
      </c>
      <c r="E17" s="608">
        <f>SUM('WS B-1 - Actual Stmt. AF'!Q23:S23)</f>
        <v>37826261.649999999</v>
      </c>
      <c r="G17" s="648">
        <f>SUM('WS B-1 - Actual Stmt. AF'!M23:O23)</f>
        <v>39949221.729999997</v>
      </c>
      <c r="H17"/>
      <c r="I17" s="100">
        <f>IF(G17="",0,(E17+G17)/2)</f>
        <v>38887741.689999998</v>
      </c>
    </row>
    <row r="18" spans="1:17">
      <c r="A18" s="71">
        <f>+A17+1</f>
        <v>3</v>
      </c>
      <c r="C18" s="47" t="s">
        <v>518</v>
      </c>
      <c r="D18" s="71" t="str">
        <f>"WS B-1 - Actual Stmt. AF Ln. " &amp;'WS B-1 - Actual Stmt. AF'!A24&amp;" (Note 1)"</f>
        <v>WS B-1 - Actual Stmt. AF Ln. 4 (Note 1)</v>
      </c>
      <c r="E18" s="608">
        <f>SUM('WS B-1 - Actual Stmt. AF'!Q24:S24)</f>
        <v>0</v>
      </c>
      <c r="G18" s="648">
        <f>SUM('WS B-1 - Actual Stmt. AF'!M24:O24)</f>
        <v>0</v>
      </c>
      <c r="H18"/>
      <c r="I18" s="100">
        <f>IF(G18="",0,(E18+G18)/2)</f>
        <v>0</v>
      </c>
    </row>
    <row r="19" spans="1:17" ht="15">
      <c r="A19" s="71">
        <f>+A18+1</f>
        <v>4</v>
      </c>
      <c r="C19" s="47" t="s">
        <v>519</v>
      </c>
      <c r="D19" s="71" t="str">
        <f>"WS B-1 - Actual Stmt. AF Ln. " &amp;'WS B-1 - Actual Stmt. AF'!A23&amp;" (Note 1)"</f>
        <v>WS B-1 - Actual Stmt. AF Ln. 3 (Note 1)</v>
      </c>
      <c r="E19" s="609">
        <f>SUM('WS B-1 - Actual Stmt. AF'!Q23:S23)-SUM('WS B-1 - Actual Stmt. AF'!Q24:S24)</f>
        <v>37826261.649999999</v>
      </c>
      <c r="G19" s="649">
        <f>SUM('WS B-1 - Actual Stmt. AF'!M23:O23)-SUM('WS B-1 - Actual Stmt. AF'!M24:O24)</f>
        <v>39949221.729999997</v>
      </c>
      <c r="I19" s="159">
        <f>IF(G19="",0,(E19+G19)/2)</f>
        <v>38887741.689999998</v>
      </c>
    </row>
    <row r="20" spans="1:17">
      <c r="A20" s="71">
        <f>+A19+1</f>
        <v>5</v>
      </c>
      <c r="C20" s="47" t="s">
        <v>515</v>
      </c>
      <c r="D20" s="104" t="str">
        <f>"Ln "&amp;A17&amp;" - ln "&amp;A18&amp;" - ln "&amp;A19&amp;""</f>
        <v>Ln 2 - ln 3 - ln 4</v>
      </c>
      <c r="E20" s="16">
        <f>+E17-E18-E19</f>
        <v>0</v>
      </c>
      <c r="G20" s="16">
        <f>+G17-G18-G19</f>
        <v>0</v>
      </c>
      <c r="I20" s="100">
        <f>+I17-I18-I19</f>
        <v>0</v>
      </c>
    </row>
    <row r="21" spans="1:17">
      <c r="A21" s="71"/>
      <c r="C21" s="47"/>
      <c r="D21" s="104"/>
    </row>
    <row r="22" spans="1:17">
      <c r="A22" s="71"/>
      <c r="C22" s="47"/>
      <c r="D22" s="104"/>
      <c r="K22" s="16"/>
      <c r="L22" s="16"/>
      <c r="M22" s="16"/>
      <c r="N22" s="16"/>
      <c r="O22" s="16"/>
    </row>
    <row r="23" spans="1:17" ht="15.75">
      <c r="A23" s="71">
        <f>+A20+1</f>
        <v>6</v>
      </c>
      <c r="C23" s="39" t="s">
        <v>509</v>
      </c>
      <c r="D23" s="104"/>
      <c r="K23" s="16"/>
      <c r="L23" s="16"/>
      <c r="M23" s="16"/>
      <c r="N23" s="16"/>
      <c r="O23" s="16"/>
    </row>
    <row r="24" spans="1:17">
      <c r="A24" s="71"/>
      <c r="C24" s="47"/>
      <c r="D24" s="104"/>
      <c r="K24" s="16"/>
      <c r="L24" s="16"/>
      <c r="M24" s="16"/>
      <c r="N24" s="16"/>
      <c r="O24" s="16"/>
    </row>
    <row r="25" spans="1:17">
      <c r="A25" s="71">
        <f>+A23+1</f>
        <v>7</v>
      </c>
      <c r="C25" s="47" t="s">
        <v>514</v>
      </c>
      <c r="D25" s="65" t="s">
        <v>448</v>
      </c>
      <c r="E25" s="608">
        <f>SUM('WS B-1 - Actual Stmt. AF'!Q57:S57)-'WS B-1 - Actual Stmt. AF'!D48</f>
        <v>158333527.38</v>
      </c>
      <c r="G25" s="648">
        <f>SUM('WS B-1 - Actual Stmt. AF'!M57:O57)-'WS B-1 - Actual Stmt. AF'!C48</f>
        <v>153538191.34</v>
      </c>
      <c r="H25"/>
      <c r="I25" s="100">
        <f>IF(G25="",0,(E25+G25)/2)</f>
        <v>155935859.36000001</v>
      </c>
      <c r="K25" s="16"/>
      <c r="L25" s="16"/>
      <c r="M25" s="16"/>
      <c r="N25" s="16"/>
      <c r="O25" s="16"/>
    </row>
    <row r="26" spans="1:17">
      <c r="A26" s="71">
        <f>+A25+1</f>
        <v>8</v>
      </c>
      <c r="C26" s="47" t="s">
        <v>518</v>
      </c>
      <c r="D26" s="71" t="str">
        <f>"WS B-1 - Actual Stmt. AF Ln. " &amp;'WS B-1 - Actual Stmt. AF'!A58&amp;" (Note 1)"</f>
        <v>WS B-1 - Actual Stmt. AF Ln. 7 (Note 1)</v>
      </c>
      <c r="E26" s="608">
        <f>SUM('WS B-1 - Actual Stmt. AF'!Q58:S58)</f>
        <v>5064449.3499999996</v>
      </c>
      <c r="G26" s="648">
        <f>SUM('WS B-1 - Actual Stmt. AF'!M58:O58)</f>
        <v>5453443.6900000004</v>
      </c>
      <c r="H26"/>
      <c r="I26" s="100">
        <f>IF(G26="",0,(E26+G26)/2)</f>
        <v>5258946.5199999996</v>
      </c>
      <c r="K26" s="16"/>
      <c r="L26" s="16"/>
      <c r="M26" s="16"/>
      <c r="N26" s="16"/>
      <c r="O26" s="16"/>
    </row>
    <row r="27" spans="1:17" ht="15">
      <c r="A27" s="71">
        <f>+A26+1</f>
        <v>9</v>
      </c>
      <c r="C27" s="47" t="s">
        <v>519</v>
      </c>
      <c r="D27" s="71" t="str">
        <f>"WS B-1 - Actual Stmt. AF Ln. " &amp;'WS B-1 - Actual Stmt. AF'!A57&amp;" (Note 1)"</f>
        <v>WS B-1 - Actual Stmt. AF Ln. 6 (Note 1)</v>
      </c>
      <c r="E27" s="609">
        <f>('WS B-1 - Actual Stmt. AF'!Q57+'WS B-1 - Actual Stmt. AF'!S57)-('WS B-1 - Actual Stmt. AF'!Q58+'WS B-1 - Actual Stmt. AF'!S58)-'WS B-1 - Actual Stmt. AF'!D48</f>
        <v>125468237.91</v>
      </c>
      <c r="G27" s="649">
        <f>('WS B-1 - Actual Stmt. AF'!M57+'WS B-1 - Actual Stmt. AF'!O57)-('WS B-1 - Actual Stmt. AF'!M58+'WS B-1 - Actual Stmt. AF'!O58)-'WS B-1 - Actual Stmt. AF'!C48</f>
        <v>120588223.92999999</v>
      </c>
      <c r="I27" s="159">
        <f>IF(G27="",0,(E27+G27)/2)</f>
        <v>123028230.91999999</v>
      </c>
      <c r="K27" s="16"/>
      <c r="L27" s="16"/>
      <c r="M27" s="16"/>
      <c r="N27" s="16"/>
      <c r="O27" s="16"/>
    </row>
    <row r="28" spans="1:17">
      <c r="A28" s="71">
        <f>+A27+1</f>
        <v>10</v>
      </c>
      <c r="C28" s="47" t="s">
        <v>515</v>
      </c>
      <c r="D28" s="104" t="str">
        <f>"Ln "&amp;A25&amp;" - ln "&amp;A26&amp;" - ln "&amp;A27&amp;""</f>
        <v>Ln 7 - ln 8 - ln 9</v>
      </c>
      <c r="E28" s="16">
        <f>+E25-E26-E27</f>
        <v>27800840.120000005</v>
      </c>
      <c r="G28" s="16">
        <f>+G25-G26-G27</f>
        <v>27496523.720000014</v>
      </c>
      <c r="I28" s="100">
        <f>+I25-I26-I27</f>
        <v>27648681.920000017</v>
      </c>
      <c r="K28" s="16"/>
      <c r="L28" s="16"/>
      <c r="M28" s="16"/>
      <c r="N28" s="16"/>
      <c r="O28" s="16"/>
    </row>
    <row r="29" spans="1:17">
      <c r="A29" s="71"/>
      <c r="C29" s="47"/>
      <c r="D29" s="104"/>
      <c r="K29" s="16"/>
      <c r="L29" s="16"/>
      <c r="M29" s="16"/>
      <c r="N29" s="16"/>
      <c r="O29" s="16"/>
      <c r="P29" s="16"/>
      <c r="Q29" s="16"/>
    </row>
    <row r="30" spans="1:17">
      <c r="A30" s="71"/>
      <c r="C30" s="47"/>
      <c r="D30" s="104"/>
      <c r="E30" s="16"/>
      <c r="G30" s="16"/>
      <c r="K30" s="16"/>
      <c r="L30" s="16"/>
      <c r="M30" s="16"/>
      <c r="N30" s="16"/>
      <c r="O30" s="16"/>
      <c r="P30" s="16"/>
      <c r="Q30" s="16"/>
    </row>
    <row r="31" spans="1:17" ht="15.75">
      <c r="A31" s="71">
        <f>+A28+1</f>
        <v>11</v>
      </c>
      <c r="C31" s="39" t="s">
        <v>510</v>
      </c>
      <c r="D31" s="104"/>
      <c r="K31" s="16"/>
      <c r="L31" s="16"/>
      <c r="M31" s="16"/>
      <c r="N31" s="16"/>
      <c r="O31" s="16"/>
      <c r="P31" s="16"/>
      <c r="Q31" s="16"/>
    </row>
    <row r="32" spans="1:17" ht="15.75">
      <c r="A32" s="71"/>
      <c r="C32" s="39"/>
      <c r="D32" s="104"/>
      <c r="K32" s="16"/>
      <c r="L32" s="16"/>
      <c r="M32" s="16"/>
      <c r="N32" s="16"/>
      <c r="O32" s="16"/>
      <c r="P32" s="16"/>
      <c r="Q32" s="16"/>
    </row>
    <row r="33" spans="1:17">
      <c r="A33" s="71">
        <f>+A31+1</f>
        <v>12</v>
      </c>
      <c r="C33" s="47" t="s">
        <v>514</v>
      </c>
      <c r="D33" s="65" t="s">
        <v>517</v>
      </c>
      <c r="E33" s="608">
        <f>SUM('WS B-1 - Actual Stmt. AF'!Q116:S116)-'WS B-1 - Actual Stmt. AF'!D100</f>
        <v>98583708.479999989</v>
      </c>
      <c r="G33" s="648">
        <f>SUM('WS B-1 - Actual Stmt. AF'!M116:O116)-'WS B-1 - Actual Stmt. AF'!C100</f>
        <v>78733795.870000005</v>
      </c>
      <c r="H33"/>
      <c r="I33" s="100">
        <f>IF(G33="",0,(E33+G33)/2)</f>
        <v>88658752.174999997</v>
      </c>
      <c r="K33" s="16"/>
      <c r="L33" s="16"/>
      <c r="M33" s="16"/>
      <c r="N33" s="16"/>
      <c r="O33" s="16"/>
      <c r="P33" s="16"/>
      <c r="Q33" s="16"/>
    </row>
    <row r="34" spans="1:17">
      <c r="A34" s="71">
        <f>+A33+1</f>
        <v>13</v>
      </c>
      <c r="C34" s="47" t="s">
        <v>518</v>
      </c>
      <c r="D34" s="71" t="str">
        <f>"WS B-1 - Actual Stmt. AF Ln. " &amp;'WS B-1 - Actual Stmt. AF'!A117&amp;" (Note 1)"</f>
        <v>WS B-1 - Actual Stmt. AF Ln. 13 (Note 1)</v>
      </c>
      <c r="E34" s="608">
        <f>SUM('WS B-1 - Actual Stmt. AF'!Q117:S117)</f>
        <v>-0.01</v>
      </c>
      <c r="G34" s="648">
        <f>SUM('WS B-1 - Actual Stmt. AF'!M117:O117)</f>
        <v>-0.01</v>
      </c>
      <c r="H34"/>
      <c r="I34" s="100">
        <f>IF(G34="",0,(E34+G34)/2)</f>
        <v>-0.01</v>
      </c>
      <c r="K34" s="779"/>
      <c r="L34" s="779"/>
      <c r="M34" s="779"/>
      <c r="N34" s="779"/>
      <c r="O34" s="779"/>
    </row>
    <row r="35" spans="1:17" ht="15">
      <c r="A35" s="71">
        <f>+A34+1</f>
        <v>14</v>
      </c>
      <c r="C35" s="47" t="s">
        <v>519</v>
      </c>
      <c r="D35" s="71" t="str">
        <f>"WS B-1 - Actual Stmt. AF Ln. " &amp;'WS B-1 - Actual Stmt. AF'!A116&amp;" (Note 1)"</f>
        <v>WS B-1 - Actual Stmt. AF Ln. 12 (Note 1)</v>
      </c>
      <c r="E35" s="609">
        <f>('WS B-1 - Actual Stmt. AF'!Q116+'WS B-1 - Actual Stmt. AF'!S116)-('WS B-1 - Actual Stmt. AF'!Q117+'WS B-1 - Actual Stmt. AF'!S117)-'WS B-1 - Actual Stmt. AF'!D100</f>
        <v>97858544.979999989</v>
      </c>
      <c r="G35" s="649">
        <f>('WS B-1 - Actual Stmt. AF'!M116+'WS B-1 - Actual Stmt. AF'!O116)-('WS B-1 - Actual Stmt. AF'!M117-'WS B-1 - Actual Stmt. AF'!O117)-'WS B-1 - Actual Stmt. AF'!C100</f>
        <v>78462540.829999998</v>
      </c>
      <c r="I35" s="159">
        <f>IF(G35="",0,(E35+G35)/2)</f>
        <v>88160542.905000001</v>
      </c>
    </row>
    <row r="36" spans="1:17">
      <c r="A36" s="71">
        <f>+A35+1</f>
        <v>15</v>
      </c>
      <c r="C36" s="47" t="s">
        <v>515</v>
      </c>
      <c r="D36" s="104" t="str">
        <f>"Ln "&amp;A33&amp;" - ln "&amp;A34&amp;" - ln "&amp;A35&amp;""</f>
        <v>Ln 12 - ln 13 - ln 14</v>
      </c>
      <c r="E36" s="16">
        <f>+E33-E34-E35</f>
        <v>725163.51000000536</v>
      </c>
      <c r="G36" s="16">
        <f>+G33-G34-G35</f>
        <v>271255.05000001192</v>
      </c>
      <c r="I36" s="100">
        <f>+I33-I34-I35</f>
        <v>498209.28000000119</v>
      </c>
    </row>
    <row r="37" spans="1:17" ht="15.75">
      <c r="A37" s="71"/>
      <c r="C37" s="39"/>
      <c r="D37" s="104"/>
      <c r="K37" s="16"/>
      <c r="L37" s="16"/>
      <c r="M37" s="16"/>
      <c r="N37" s="16"/>
      <c r="O37" s="16"/>
      <c r="P37" s="16"/>
    </row>
    <row r="38" spans="1:17">
      <c r="A38" s="71"/>
      <c r="C38" s="47"/>
      <c r="D38" s="104"/>
      <c r="K38" s="16"/>
      <c r="L38" s="16"/>
      <c r="M38" s="16"/>
      <c r="N38" s="16"/>
      <c r="O38" s="16"/>
      <c r="P38" s="16"/>
    </row>
    <row r="39" spans="1:17" ht="15.75">
      <c r="A39" s="71">
        <f>+A36+1</f>
        <v>16</v>
      </c>
      <c r="C39" s="39" t="s">
        <v>511</v>
      </c>
      <c r="D39" s="104"/>
      <c r="K39" s="16"/>
      <c r="L39" s="16"/>
      <c r="M39" s="16"/>
      <c r="N39" s="16"/>
      <c r="O39" s="16"/>
      <c r="P39" s="16"/>
    </row>
    <row r="40" spans="1:17">
      <c r="A40" s="71"/>
      <c r="C40" s="47"/>
      <c r="D40" s="104"/>
      <c r="K40" s="16"/>
      <c r="L40" s="16"/>
      <c r="M40" s="16"/>
      <c r="N40" s="16"/>
      <c r="O40" s="16"/>
      <c r="P40" s="16"/>
    </row>
    <row r="41" spans="1:17">
      <c r="A41" s="71">
        <f>+A39+1</f>
        <v>17</v>
      </c>
      <c r="C41" s="47" t="s">
        <v>514</v>
      </c>
      <c r="D41" s="65" t="s">
        <v>513</v>
      </c>
      <c r="E41" s="648">
        <f>SUM('WS B-2 - Actual Stmt. AG'!Q73:S73)-'WS B-2 - Actual Stmt. AG'!D60</f>
        <v>11238323.760000004</v>
      </c>
      <c r="G41" s="648">
        <f>SUM('WS B-2 - Actual Stmt. AG'!M73:O73)-'WS B-2 - Actual Stmt. AG'!C60</f>
        <v>10830418.289999995</v>
      </c>
      <c r="H41"/>
      <c r="I41" s="100">
        <f>IF(G41="",0,(E41+G41)/2)</f>
        <v>11034371.024999999</v>
      </c>
      <c r="K41" s="16"/>
      <c r="L41" s="16"/>
      <c r="M41" s="16"/>
      <c r="N41" s="16"/>
      <c r="O41" s="16"/>
    </row>
    <row r="42" spans="1:17">
      <c r="A42" s="71">
        <f>+A41+1</f>
        <v>18</v>
      </c>
      <c r="C42" s="47" t="s">
        <v>518</v>
      </c>
      <c r="D42" s="71" t="str">
        <f>"WS B-2 - Actual Stmt. AG Ln. " &amp;'WS B-2 - Actual Stmt. AG'!A74&amp;" (Note 1)"</f>
        <v>WS B-2 - Actual Stmt. AG Ln. 4 (Note 1)</v>
      </c>
      <c r="E42" s="648">
        <f>SUM('WS B-2 - Actual Stmt. AG'!Q74:S74)</f>
        <v>6468040.6800000006</v>
      </c>
      <c r="G42" s="648">
        <f>SUM('WS B-2 - Actual Stmt. AG'!M74:O74)</f>
        <v>6721555.8799999999</v>
      </c>
      <c r="H42"/>
      <c r="I42" s="100">
        <f>IF(G42="",0,(E42+G42)/2)</f>
        <v>6594798.2800000003</v>
      </c>
      <c r="K42" s="16"/>
      <c r="L42" s="16"/>
      <c r="M42" s="16"/>
      <c r="N42" s="16"/>
      <c r="O42" s="16"/>
    </row>
    <row r="43" spans="1:17" ht="15">
      <c r="A43" s="71">
        <f>+A42+1</f>
        <v>19</v>
      </c>
      <c r="C43" s="47" t="s">
        <v>519</v>
      </c>
      <c r="D43" s="71" t="str">
        <f>"WS B-2 - Actual Stmt. AG Ln. " &amp;'WS B-2 - Actual Stmt. AG'!A73&amp;" (Note 1)"</f>
        <v>WS B-2 - Actual Stmt. AG Ln. 3 (Note 1)</v>
      </c>
      <c r="E43" s="649">
        <f>('WS B-2 - Actual Stmt. AG'!Q73+'WS B-2 - Actual Stmt. AG'!S73)-('WS B-2 - Actual Stmt. AG'!Q74+'WS B-2 - Actual Stmt. AG'!S74)-'WS B-2 - Actual Stmt. AG'!D60</f>
        <v>3928225.5978830536</v>
      </c>
      <c r="G43" s="649">
        <f>('WS B-2 - Actual Stmt. AG'!M73+'WS B-2 - Actual Stmt. AG'!O73)-('WS B-2 - Actual Stmt. AG'!M74+'WS B-2 - Actual Stmt. AG'!O74)-'WS B-2 - Actual Stmt. AG'!C60</f>
        <v>3624314.7548957472</v>
      </c>
      <c r="I43" s="159">
        <f>IF(G43="",0,(E43+G43)/2)</f>
        <v>3776270.1763894004</v>
      </c>
      <c r="K43" s="16"/>
      <c r="L43" s="16"/>
      <c r="M43" s="16"/>
      <c r="N43" s="16"/>
      <c r="O43" s="16"/>
    </row>
    <row r="44" spans="1:17">
      <c r="A44" s="71">
        <f>+A43+1</f>
        <v>20</v>
      </c>
      <c r="C44" s="47" t="s">
        <v>515</v>
      </c>
      <c r="D44" s="104" t="str">
        <f>"Ln "&amp;A41&amp;" - ln "&amp;A42&amp;" - ln "&amp;A43&amp;""</f>
        <v>Ln 17 - ln 18 - ln 19</v>
      </c>
      <c r="E44" s="16">
        <f>+E41-E42-E43</f>
        <v>842057.48211694928</v>
      </c>
      <c r="G44" s="16">
        <f>+G41-G42-G43</f>
        <v>484547.65510424832</v>
      </c>
      <c r="I44" s="100">
        <f>+I41-I42-I43</f>
        <v>663302.56861059787</v>
      </c>
    </row>
    <row r="45" spans="1:17">
      <c r="A45" s="71"/>
      <c r="C45" s="47"/>
      <c r="D45" s="104"/>
    </row>
    <row r="46" spans="1:17">
      <c r="A46" s="71"/>
      <c r="C46" s="47"/>
      <c r="D46" s="104"/>
    </row>
    <row r="47" spans="1:17" ht="15.75">
      <c r="A47" s="71">
        <f>+A44+1</f>
        <v>21</v>
      </c>
      <c r="C47" s="39" t="s">
        <v>512</v>
      </c>
      <c r="D47" s="104"/>
    </row>
    <row r="48" spans="1:17">
      <c r="A48" s="71"/>
      <c r="C48" s="47"/>
      <c r="D48" s="104"/>
      <c r="K48" s="16"/>
      <c r="L48" s="16"/>
      <c r="M48" s="16"/>
      <c r="N48" s="16"/>
      <c r="O48" s="16"/>
    </row>
    <row r="49" spans="1:15">
      <c r="A49" s="71">
        <f>+A47+1</f>
        <v>22</v>
      </c>
      <c r="C49" s="47" t="s">
        <v>520</v>
      </c>
      <c r="D49" s="65" t="s">
        <v>469</v>
      </c>
      <c r="E49" s="608">
        <f>SUM('WS B-1 - Actual Stmt. AF'!Q130:S130)</f>
        <v>0</v>
      </c>
      <c r="G49" s="608">
        <f>SUM('WS B-1 - Actual Stmt. AF'!M130:O130)</f>
        <v>0</v>
      </c>
      <c r="H49"/>
      <c r="I49" s="100">
        <f>IF(G49="",0,(E49+G49)/2)</f>
        <v>0</v>
      </c>
      <c r="K49" s="16"/>
      <c r="L49" s="16"/>
      <c r="M49" s="16"/>
      <c r="N49" s="16"/>
      <c r="O49" s="16"/>
    </row>
    <row r="50" spans="1:15" ht="15">
      <c r="A50" s="71">
        <f>+A49+1</f>
        <v>23</v>
      </c>
      <c r="C50" s="47" t="s">
        <v>521</v>
      </c>
      <c r="D50" s="71" t="s">
        <v>67</v>
      </c>
      <c r="E50" s="609">
        <v>0</v>
      </c>
      <c r="G50" s="609">
        <v>0</v>
      </c>
      <c r="H50"/>
      <c r="I50" s="159">
        <f>IF(G50="",0,(E50+G50)/2)</f>
        <v>0</v>
      </c>
      <c r="K50" s="16"/>
      <c r="L50" s="16"/>
      <c r="M50" s="16"/>
      <c r="N50" s="16"/>
      <c r="O50" s="16"/>
    </row>
    <row r="51" spans="1:15">
      <c r="A51" s="71">
        <f>+A50+1</f>
        <v>24</v>
      </c>
      <c r="C51" s="47" t="s">
        <v>388</v>
      </c>
      <c r="D51" s="104" t="str">
        <f>"Ln "&amp;A49&amp;" - ln "&amp;A50&amp;""</f>
        <v>Ln 22 - ln 23</v>
      </c>
      <c r="E51" s="16">
        <f>+E49-E50</f>
        <v>0</v>
      </c>
      <c r="G51" s="16">
        <f>+G49-G50</f>
        <v>0</v>
      </c>
      <c r="H51"/>
      <c r="I51" s="100">
        <f>+I49-I50</f>
        <v>0</v>
      </c>
      <c r="K51" s="16"/>
      <c r="L51" s="16"/>
      <c r="M51" s="16"/>
      <c r="N51" s="16"/>
      <c r="O51" s="16"/>
    </row>
    <row r="52" spans="1:15">
      <c r="A52" s="71">
        <f>+A51+1</f>
        <v>25</v>
      </c>
      <c r="C52" s="47" t="s">
        <v>515</v>
      </c>
      <c r="D52" s="71" t="str">
        <f>"WS B-1 - Actual Stmt. AF Ln. " &amp;'WS B-1 - Actual Stmt. AF'!A130&amp;" (Note 1)"</f>
        <v>WS B-1 - Actual Stmt. AF Ln. 20 (Note 1)</v>
      </c>
      <c r="E52" s="608">
        <f>'WS B-1 - Actual Stmt. AF'!R130</f>
        <v>0</v>
      </c>
      <c r="G52" s="608">
        <f>'WS B-1 - Actual Stmt. AF'!N130</f>
        <v>0</v>
      </c>
      <c r="H52"/>
      <c r="I52" s="100">
        <f>IF(G52="",0,(E52+G52)/2)</f>
        <v>0</v>
      </c>
      <c r="K52" s="16"/>
      <c r="L52" s="16"/>
      <c r="M52" s="16"/>
      <c r="N52" s="16"/>
      <c r="O52" s="16"/>
    </row>
    <row r="53" spans="1:15">
      <c r="A53" s="71"/>
      <c r="C53" s="47"/>
      <c r="D53" s="47"/>
      <c r="K53" s="16"/>
      <c r="L53" s="16"/>
      <c r="M53" s="16"/>
      <c r="N53" s="16"/>
      <c r="O53" s="16"/>
    </row>
    <row r="54" spans="1:15">
      <c r="A54" s="53" t="s">
        <v>68</v>
      </c>
      <c r="C54" s="1260" t="s">
        <v>809</v>
      </c>
      <c r="D54" s="1260"/>
      <c r="E54" s="1260"/>
      <c r="F54" s="1260"/>
      <c r="G54" s="1260"/>
      <c r="H54" s="1260"/>
      <c r="I54" s="1260"/>
    </row>
    <row r="55" spans="1:15">
      <c r="A55" s="53"/>
      <c r="C55" s="1260"/>
      <c r="D55" s="1260"/>
      <c r="E55" s="1260"/>
      <c r="F55" s="1260"/>
      <c r="G55" s="1260"/>
      <c r="H55" s="1260"/>
      <c r="I55" s="1260"/>
    </row>
    <row r="56" spans="1:15">
      <c r="A56" s="71"/>
      <c r="C56" s="47"/>
      <c r="D56" s="47"/>
    </row>
    <row r="57" spans="1:15">
      <c r="A57" s="71" t="s">
        <v>69</v>
      </c>
      <c r="B57" s="24" t="s">
        <v>70</v>
      </c>
      <c r="C57" s="47"/>
      <c r="D57" s="47"/>
    </row>
    <row r="58" spans="1:15">
      <c r="B58" s="3"/>
      <c r="C58" s="3"/>
      <c r="D58" s="3"/>
      <c r="E58" s="3"/>
      <c r="F58" s="3"/>
      <c r="G58" s="3"/>
      <c r="H58" s="3"/>
      <c r="I58" s="3"/>
      <c r="J58" s="3"/>
      <c r="K58" s="3"/>
    </row>
    <row r="59" spans="1:15">
      <c r="B59" s="3"/>
      <c r="C59" s="3"/>
      <c r="D59" s="3"/>
      <c r="E59" s="3"/>
      <c r="F59" s="3"/>
      <c r="G59" s="3"/>
      <c r="H59" s="3"/>
      <c r="I59" s="3"/>
      <c r="J59" s="3"/>
      <c r="K59" s="3"/>
    </row>
    <row r="60" spans="1:15">
      <c r="B60" s="3"/>
      <c r="C60" s="3"/>
      <c r="D60" s="3"/>
      <c r="E60" s="3"/>
      <c r="F60" s="3"/>
      <c r="G60" s="3"/>
      <c r="H60" s="3"/>
      <c r="I60" s="3"/>
      <c r="J60" s="3"/>
      <c r="K60" s="3"/>
      <c r="L60" s="3"/>
    </row>
    <row r="61" spans="1:15">
      <c r="B61" s="3"/>
      <c r="C61" s="3"/>
      <c r="D61" s="3"/>
      <c r="E61" s="3"/>
      <c r="F61" s="3"/>
      <c r="G61" s="3"/>
      <c r="H61" s="3"/>
      <c r="I61" s="3"/>
      <c r="J61" s="3"/>
      <c r="K61" s="3"/>
      <c r="L61" s="3"/>
    </row>
    <row r="62" spans="1:15">
      <c r="B62" s="3"/>
      <c r="C62" s="3"/>
      <c r="D62" s="3"/>
      <c r="E62" s="3"/>
      <c r="F62" s="3"/>
      <c r="G62" s="3"/>
      <c r="H62" s="3"/>
      <c r="I62" s="3"/>
      <c r="J62" s="3"/>
      <c r="K62" s="3"/>
      <c r="L62" s="3"/>
    </row>
    <row r="63" spans="1:15">
      <c r="B63" s="3"/>
      <c r="C63" s="3"/>
      <c r="D63" s="3"/>
      <c r="E63" s="3"/>
      <c r="F63" s="3"/>
      <c r="G63" s="3"/>
      <c r="H63" s="3"/>
      <c r="I63" s="3"/>
      <c r="J63" s="3"/>
      <c r="K63" s="3"/>
      <c r="L63" s="3"/>
    </row>
    <row r="64" spans="1:15">
      <c r="B64" s="3"/>
      <c r="C64" s="3"/>
      <c r="D64" s="3"/>
      <c r="E64" s="3"/>
      <c r="F64" s="3"/>
      <c r="G64" s="3"/>
      <c r="H64" s="3"/>
      <c r="I64" s="3"/>
      <c r="J64" s="3"/>
      <c r="K64" s="3"/>
      <c r="L64" s="3"/>
    </row>
    <row r="65" spans="2:12">
      <c r="B65" s="3"/>
      <c r="C65" s="3"/>
      <c r="D65" s="3"/>
      <c r="E65" s="3"/>
      <c r="F65" s="3"/>
      <c r="G65" s="3"/>
      <c r="H65" s="3"/>
      <c r="I65" s="3"/>
      <c r="J65" s="3"/>
      <c r="K65" s="3"/>
      <c r="L65" s="3"/>
    </row>
    <row r="66" spans="2:12">
      <c r="B66" s="3"/>
      <c r="C66" s="3"/>
      <c r="D66" s="3"/>
      <c r="E66" s="3"/>
      <c r="F66" s="3"/>
      <c r="G66" s="3"/>
      <c r="H66" s="3"/>
      <c r="I66" s="3"/>
      <c r="J66" s="3"/>
      <c r="K66" s="3"/>
      <c r="L66" s="3"/>
    </row>
    <row r="67" spans="2:12">
      <c r="B67" s="3"/>
      <c r="C67" s="3"/>
      <c r="D67" s="3"/>
      <c r="E67" s="3"/>
      <c r="F67" s="3"/>
      <c r="G67" s="3"/>
      <c r="H67" s="3"/>
      <c r="I67" s="3"/>
      <c r="J67" s="3"/>
      <c r="K67" s="3"/>
      <c r="L67" s="3"/>
    </row>
    <row r="68" spans="2:12">
      <c r="B68" s="3"/>
      <c r="C68" s="3"/>
      <c r="D68" s="3"/>
      <c r="E68" s="3"/>
      <c r="F68" s="3"/>
      <c r="G68" s="3"/>
      <c r="H68" s="3"/>
      <c r="I68" s="3"/>
      <c r="J68" s="3"/>
      <c r="K68" s="3"/>
      <c r="L68" s="3"/>
    </row>
    <row r="69" spans="2:12">
      <c r="B69" s="3"/>
      <c r="C69" s="3"/>
      <c r="D69" s="3"/>
      <c r="E69" s="3"/>
      <c r="F69" s="3"/>
      <c r="G69" s="3"/>
      <c r="H69" s="3"/>
      <c r="I69" s="3"/>
      <c r="J69" s="3"/>
      <c r="K69" s="3"/>
      <c r="L69" s="3"/>
    </row>
    <row r="70" spans="2:12">
      <c r="B70" s="3"/>
      <c r="C70" s="3"/>
      <c r="D70" s="3"/>
      <c r="E70" s="3"/>
      <c r="F70" s="3"/>
      <c r="G70" s="3"/>
      <c r="H70" s="3"/>
      <c r="I70" s="3"/>
      <c r="J70" s="3"/>
      <c r="K70" s="3"/>
      <c r="L70" s="3"/>
    </row>
    <row r="71" spans="2:12">
      <c r="B71" s="3"/>
      <c r="C71" s="3"/>
      <c r="D71" s="3"/>
      <c r="E71" s="3"/>
      <c r="F71" s="3"/>
      <c r="G71" s="3"/>
      <c r="H71" s="3"/>
      <c r="I71" s="3"/>
      <c r="J71" s="3"/>
      <c r="K71" s="3"/>
      <c r="L71" s="3"/>
    </row>
    <row r="72" spans="2:12">
      <c r="B72" s="3"/>
      <c r="C72" s="3"/>
      <c r="D72" s="3"/>
      <c r="E72" s="3"/>
      <c r="F72" s="3"/>
      <c r="G72" s="3"/>
      <c r="H72" s="3"/>
      <c r="I72" s="3"/>
      <c r="J72" s="3"/>
      <c r="K72" s="3"/>
      <c r="L72" s="3"/>
    </row>
    <row r="73" spans="2:12">
      <c r="B73" s="3"/>
      <c r="C73" s="3"/>
      <c r="D73" s="3"/>
      <c r="E73" s="3"/>
      <c r="F73" s="3"/>
      <c r="G73" s="3"/>
      <c r="H73" s="3"/>
      <c r="I73" s="3"/>
      <c r="J73" s="3"/>
      <c r="K73" s="3"/>
      <c r="L73" s="3"/>
    </row>
    <row r="74" spans="2:12">
      <c r="B74" s="3"/>
      <c r="C74" s="3"/>
      <c r="D74" s="3"/>
      <c r="E74" s="3"/>
      <c r="F74" s="3"/>
      <c r="G74" s="3"/>
      <c r="H74" s="3"/>
      <c r="I74" s="3"/>
      <c r="J74" s="3"/>
      <c r="K74" s="3"/>
      <c r="L74" s="3"/>
    </row>
    <row r="75" spans="2:12">
      <c r="B75" s="3"/>
      <c r="C75" s="3"/>
      <c r="D75" s="3"/>
      <c r="E75" s="3"/>
      <c r="F75" s="3"/>
      <c r="G75" s="3"/>
      <c r="H75" s="3"/>
      <c r="I75" s="3"/>
      <c r="J75" s="3"/>
      <c r="K75" s="3"/>
      <c r="L75" s="3"/>
    </row>
    <row r="76" spans="2:12">
      <c r="B76" s="3"/>
      <c r="C76" s="3"/>
      <c r="D76" s="3"/>
      <c r="E76" s="3"/>
      <c r="F76" s="3"/>
      <c r="G76" s="3"/>
      <c r="H76" s="3"/>
      <c r="I76" s="3"/>
      <c r="J76" s="3"/>
      <c r="K76" s="3"/>
      <c r="L76" s="3"/>
    </row>
    <row r="77" spans="2:12">
      <c r="B77" s="3"/>
      <c r="C77" s="3"/>
      <c r="D77" s="3"/>
      <c r="E77" s="3"/>
      <c r="F77" s="3"/>
      <c r="G77" s="3"/>
      <c r="H77" s="3"/>
      <c r="I77" s="3"/>
      <c r="J77" s="3"/>
      <c r="K77" s="3"/>
      <c r="L77" s="3"/>
    </row>
    <row r="78" spans="2:12">
      <c r="B78" s="3"/>
      <c r="C78" s="3"/>
      <c r="D78" s="3"/>
      <c r="E78" s="3"/>
      <c r="F78" s="3"/>
      <c r="G78" s="3"/>
      <c r="H78" s="3"/>
      <c r="I78" s="3"/>
      <c r="J78" s="3"/>
      <c r="K78" s="3"/>
      <c r="L78" s="3"/>
    </row>
    <row r="79" spans="2:12">
      <c r="B79" s="3"/>
      <c r="C79" s="3"/>
      <c r="D79" s="3"/>
      <c r="E79" s="3"/>
      <c r="F79" s="3"/>
      <c r="G79" s="3"/>
      <c r="H79" s="3"/>
      <c r="I79" s="3"/>
      <c r="J79" s="3"/>
      <c r="K79" s="3"/>
      <c r="L79" s="3"/>
    </row>
    <row r="80" spans="2:12">
      <c r="B80" s="3"/>
      <c r="C80" s="3"/>
      <c r="D80" s="3"/>
      <c r="E80" s="3"/>
      <c r="F80" s="3"/>
      <c r="G80" s="3"/>
      <c r="H80" s="3"/>
      <c r="I80" s="3"/>
      <c r="J80" s="3"/>
      <c r="K80" s="3"/>
      <c r="L80" s="3"/>
    </row>
    <row r="81" spans="2:12">
      <c r="B81" s="3"/>
      <c r="C81" s="3"/>
      <c r="D81" s="3"/>
      <c r="E81" s="3"/>
      <c r="F81" s="3"/>
      <c r="G81" s="3"/>
      <c r="H81" s="3"/>
      <c r="I81" s="3"/>
      <c r="J81" s="3"/>
      <c r="K81" s="3"/>
      <c r="L81" s="3"/>
    </row>
    <row r="82" spans="2:12">
      <c r="B82" s="3"/>
      <c r="C82" s="3"/>
      <c r="D82" s="3"/>
      <c r="E82" s="3"/>
      <c r="F82" s="3"/>
      <c r="G82" s="3"/>
      <c r="H82" s="3"/>
      <c r="I82" s="3"/>
      <c r="J82" s="3"/>
      <c r="K82" s="3"/>
      <c r="L82" s="3"/>
    </row>
    <row r="83" spans="2:12">
      <c r="B83" s="3"/>
      <c r="C83" s="3"/>
      <c r="D83" s="3"/>
      <c r="E83" s="3"/>
      <c r="F83" s="3"/>
      <c r="G83" s="3"/>
      <c r="H83" s="3"/>
      <c r="I83" s="3"/>
      <c r="J83" s="3"/>
      <c r="K83" s="3"/>
      <c r="L83" s="3"/>
    </row>
    <row r="84" spans="2:12">
      <c r="B84" s="3"/>
      <c r="C84" s="3"/>
      <c r="D84" s="3"/>
      <c r="E84" s="3"/>
      <c r="F84" s="3"/>
      <c r="G84" s="3"/>
      <c r="H84" s="3"/>
      <c r="I84" s="3"/>
      <c r="J84" s="3"/>
      <c r="K84" s="3"/>
      <c r="L84" s="3"/>
    </row>
    <row r="85" spans="2:12" ht="14.25" customHeight="1">
      <c r="B85" s="3"/>
      <c r="C85" s="3"/>
      <c r="D85" s="3"/>
      <c r="E85" s="3"/>
      <c r="F85" s="3"/>
      <c r="G85" s="3"/>
      <c r="H85" s="3"/>
      <c r="I85" s="3"/>
      <c r="J85" s="3"/>
      <c r="K85" s="3"/>
      <c r="L85" s="3"/>
    </row>
    <row r="86" spans="2:12" ht="12.75" customHeight="1">
      <c r="B86" s="3"/>
      <c r="C86" s="3"/>
      <c r="D86" s="3"/>
      <c r="E86" s="3"/>
      <c r="F86" s="3"/>
      <c r="G86" s="3"/>
      <c r="H86" s="3"/>
      <c r="I86" s="3"/>
      <c r="J86" s="3"/>
      <c r="K86" s="3"/>
      <c r="L86" s="3"/>
    </row>
    <row r="87" spans="2:12" ht="12.75" customHeight="1">
      <c r="B87" s="3"/>
      <c r="C87" s="3"/>
      <c r="D87" s="3"/>
      <c r="E87" s="3"/>
      <c r="F87" s="3"/>
      <c r="G87" s="3"/>
      <c r="H87" s="3"/>
      <c r="I87" s="3"/>
      <c r="J87" s="3"/>
      <c r="K87" s="3"/>
      <c r="L87" s="3"/>
    </row>
    <row r="88" spans="2:12" ht="12.75" customHeight="1">
      <c r="B88" s="3"/>
      <c r="C88" s="3"/>
      <c r="D88" s="3"/>
      <c r="E88" s="3"/>
      <c r="F88" s="3"/>
      <c r="G88" s="3"/>
      <c r="H88" s="3"/>
      <c r="I88" s="3"/>
      <c r="J88" s="3"/>
      <c r="K88" s="3"/>
      <c r="L88" s="3"/>
    </row>
    <row r="89" spans="2:12" ht="12.75" customHeight="1">
      <c r="B89" s="3"/>
      <c r="C89" s="3"/>
      <c r="D89" s="3"/>
      <c r="E89" s="3"/>
      <c r="F89" s="3"/>
      <c r="G89" s="3"/>
      <c r="H89" s="3"/>
      <c r="I89" s="3"/>
      <c r="J89" s="3"/>
      <c r="K89" s="3"/>
      <c r="L89" s="3"/>
    </row>
    <row r="90" spans="2:12" ht="12.75" customHeight="1">
      <c r="B90" s="3"/>
      <c r="C90" s="3"/>
      <c r="D90" s="3"/>
      <c r="E90" s="3"/>
      <c r="F90" s="3"/>
      <c r="G90" s="3"/>
      <c r="H90" s="3"/>
      <c r="I90" s="3"/>
      <c r="J90" s="3"/>
      <c r="K90" s="3"/>
      <c r="L90" s="3"/>
    </row>
    <row r="91" spans="2:12" ht="12.75" customHeight="1">
      <c r="B91" s="3"/>
      <c r="C91" s="3"/>
      <c r="D91" s="3"/>
      <c r="E91" s="3"/>
      <c r="F91" s="3"/>
      <c r="G91" s="3"/>
      <c r="H91" s="3"/>
      <c r="I91" s="3"/>
      <c r="J91" s="3"/>
      <c r="K91" s="3"/>
      <c r="L91" s="3"/>
    </row>
    <row r="92" spans="2:12" ht="12.75" customHeight="1">
      <c r="B92" s="3"/>
      <c r="C92" s="3"/>
      <c r="D92" s="3"/>
      <c r="E92" s="3"/>
      <c r="F92" s="3"/>
      <c r="G92" s="3"/>
      <c r="H92" s="3"/>
      <c r="I92" s="3"/>
      <c r="J92" s="3"/>
      <c r="K92" s="3"/>
      <c r="L92" s="3"/>
    </row>
    <row r="93" spans="2:12" ht="12.75" customHeight="1">
      <c r="B93" s="3"/>
      <c r="C93" s="3"/>
      <c r="D93" s="3"/>
      <c r="E93" s="3"/>
      <c r="F93" s="3"/>
      <c r="G93" s="3"/>
      <c r="H93" s="3"/>
      <c r="I93" s="3"/>
      <c r="J93" s="3"/>
      <c r="K93" s="3"/>
      <c r="L93" s="3"/>
    </row>
    <row r="94" spans="2:12" ht="12.75" customHeight="1">
      <c r="B94" s="3"/>
      <c r="C94" s="3"/>
      <c r="D94" s="3"/>
      <c r="E94" s="3"/>
      <c r="F94" s="3"/>
      <c r="G94" s="3"/>
      <c r="H94" s="3"/>
      <c r="I94" s="3"/>
      <c r="J94" s="3"/>
      <c r="K94" s="3"/>
      <c r="L94" s="3"/>
    </row>
    <row r="95" spans="2:12" ht="12.75" customHeight="1">
      <c r="B95" s="3"/>
      <c r="C95" s="3"/>
      <c r="D95" s="3"/>
      <c r="E95" s="3"/>
      <c r="F95" s="3"/>
      <c r="G95" s="3"/>
      <c r="H95" s="3"/>
      <c r="I95" s="3"/>
      <c r="J95" s="3"/>
      <c r="K95" s="3"/>
      <c r="L95" s="3"/>
    </row>
    <row r="96" spans="2:12" ht="12.75" customHeight="1">
      <c r="B96" s="3"/>
      <c r="C96" s="3"/>
      <c r="D96" s="3"/>
      <c r="E96" s="3"/>
      <c r="F96" s="3"/>
      <c r="G96" s="3"/>
      <c r="H96" s="3"/>
      <c r="I96" s="3"/>
      <c r="J96" s="3"/>
      <c r="K96" s="3"/>
      <c r="L96" s="3"/>
    </row>
    <row r="97" spans="2:12" ht="12.75" customHeight="1">
      <c r="B97" s="3"/>
      <c r="C97" s="3"/>
      <c r="D97" s="3"/>
      <c r="E97" s="3"/>
      <c r="F97" s="3"/>
      <c r="G97" s="3"/>
      <c r="H97" s="3"/>
      <c r="I97" s="3"/>
      <c r="J97" s="3"/>
      <c r="K97" s="3"/>
      <c r="L97" s="3"/>
    </row>
    <row r="98" spans="2:12" ht="12.75" customHeight="1">
      <c r="B98" s="3"/>
      <c r="C98" s="3"/>
      <c r="D98" s="3"/>
      <c r="E98" s="3"/>
      <c r="F98" s="3"/>
      <c r="G98" s="3"/>
      <c r="H98" s="3"/>
      <c r="I98" s="3"/>
      <c r="J98" s="3"/>
      <c r="K98" s="3"/>
      <c r="L98" s="3"/>
    </row>
    <row r="99" spans="2:12" ht="12.75" customHeight="1">
      <c r="B99" s="3"/>
      <c r="C99" s="3"/>
      <c r="D99" s="3"/>
      <c r="E99" s="3"/>
      <c r="F99" s="3"/>
      <c r="G99" s="3"/>
      <c r="H99" s="3"/>
      <c r="I99" s="3"/>
      <c r="J99" s="3"/>
      <c r="K99" s="3"/>
      <c r="L99" s="3"/>
    </row>
    <row r="100" spans="2:12" ht="12.75" customHeight="1">
      <c r="B100" s="3"/>
      <c r="C100" s="3"/>
      <c r="D100" s="3"/>
      <c r="E100" s="3"/>
      <c r="F100" s="3"/>
      <c r="G100" s="3"/>
      <c r="H100" s="3"/>
      <c r="I100" s="3"/>
      <c r="J100" s="3"/>
      <c r="K100" s="3"/>
      <c r="L100" s="3"/>
    </row>
    <row r="101" spans="2:12">
      <c r="B101" s="3"/>
      <c r="C101" s="3"/>
      <c r="D101" s="3"/>
      <c r="E101" s="3"/>
      <c r="F101" s="3"/>
      <c r="G101" s="3"/>
      <c r="H101" s="3"/>
      <c r="I101" s="3"/>
      <c r="J101" s="3"/>
      <c r="K101" s="3"/>
      <c r="L101" s="3"/>
    </row>
    <row r="102" spans="2:12">
      <c r="B102" s="3"/>
      <c r="C102" s="3"/>
      <c r="D102" s="3"/>
      <c r="E102" s="3"/>
      <c r="F102" s="3"/>
      <c r="G102" s="3"/>
      <c r="H102" s="3"/>
      <c r="I102" s="3"/>
      <c r="J102" s="3"/>
      <c r="K102" s="3"/>
      <c r="L102" s="3"/>
    </row>
    <row r="103" spans="2:12">
      <c r="B103" s="3"/>
      <c r="C103" s="3"/>
      <c r="D103" s="3"/>
      <c r="E103" s="3"/>
      <c r="F103" s="3"/>
      <c r="G103" s="3"/>
      <c r="H103" s="3"/>
      <c r="I103" s="3"/>
      <c r="J103" s="3"/>
      <c r="K103" s="3"/>
      <c r="L103" s="3"/>
    </row>
    <row r="104" spans="2:12">
      <c r="B104" s="3"/>
      <c r="C104" s="3"/>
      <c r="D104" s="3"/>
      <c r="E104" s="3"/>
      <c r="F104" s="3"/>
      <c r="G104" s="3"/>
      <c r="H104" s="3"/>
      <c r="I104" s="3"/>
      <c r="J104" s="3"/>
      <c r="K104" s="3"/>
      <c r="L104" s="3"/>
    </row>
    <row r="105" spans="2:12">
      <c r="B105" s="3"/>
      <c r="C105" s="3"/>
      <c r="D105" s="3"/>
      <c r="E105" s="3"/>
      <c r="F105" s="3"/>
      <c r="G105" s="3"/>
      <c r="H105" s="3"/>
      <c r="I105" s="3"/>
      <c r="J105" s="3"/>
      <c r="K105" s="3"/>
      <c r="L105" s="3"/>
    </row>
    <row r="106" spans="2:12">
      <c r="B106" s="3"/>
      <c r="C106" s="3"/>
      <c r="D106" s="3"/>
      <c r="E106" s="3"/>
      <c r="F106" s="3"/>
      <c r="G106" s="3"/>
      <c r="H106" s="3"/>
      <c r="I106" s="3"/>
      <c r="J106" s="3"/>
      <c r="K106" s="3"/>
      <c r="L106" s="3"/>
    </row>
    <row r="107" spans="2:12">
      <c r="B107" s="3"/>
      <c r="C107" s="3"/>
      <c r="D107" s="3"/>
      <c r="E107" s="3"/>
      <c r="F107" s="3"/>
      <c r="G107" s="3"/>
      <c r="H107" s="3"/>
      <c r="I107" s="3"/>
      <c r="J107" s="3"/>
      <c r="K107" s="3"/>
      <c r="L107" s="3"/>
    </row>
    <row r="108" spans="2:12">
      <c r="B108" s="3"/>
      <c r="C108" s="3"/>
      <c r="D108" s="3"/>
      <c r="E108" s="3"/>
      <c r="F108" s="3"/>
      <c r="G108" s="3"/>
      <c r="H108" s="3"/>
      <c r="I108" s="3"/>
      <c r="J108" s="3"/>
      <c r="K108" s="3"/>
      <c r="L108" s="3"/>
    </row>
    <row r="109" spans="2:12">
      <c r="B109" s="3"/>
      <c r="C109" s="3"/>
      <c r="D109" s="3"/>
      <c r="E109" s="3"/>
      <c r="F109" s="3"/>
      <c r="G109" s="3"/>
      <c r="H109" s="3"/>
      <c r="I109" s="3"/>
      <c r="J109" s="3"/>
      <c r="K109" s="3"/>
      <c r="L109" s="3"/>
    </row>
    <row r="110" spans="2:12">
      <c r="B110" s="3"/>
      <c r="C110" s="3"/>
      <c r="D110" s="3"/>
      <c r="E110" s="3"/>
      <c r="F110" s="3"/>
      <c r="G110" s="3"/>
      <c r="H110" s="3"/>
      <c r="I110" s="3"/>
      <c r="J110" s="3"/>
      <c r="K110" s="3"/>
      <c r="L110" s="3"/>
    </row>
    <row r="111" spans="2:12">
      <c r="B111" s="3"/>
      <c r="C111" s="3"/>
      <c r="D111" s="3"/>
      <c r="E111" s="3"/>
      <c r="F111" s="3"/>
      <c r="G111" s="3"/>
      <c r="H111" s="3"/>
      <c r="I111" s="3"/>
      <c r="J111" s="3"/>
      <c r="K111" s="3"/>
      <c r="L111" s="3"/>
    </row>
    <row r="112" spans="2:12">
      <c r="B112" s="3"/>
      <c r="C112" s="3"/>
      <c r="D112" s="3"/>
      <c r="E112" s="3"/>
      <c r="F112" s="3"/>
      <c r="G112" s="3"/>
      <c r="H112" s="3"/>
      <c r="I112" s="3"/>
      <c r="J112" s="3"/>
      <c r="K112" s="3"/>
      <c r="L112" s="3"/>
    </row>
    <row r="113" spans="2:12">
      <c r="B113" s="3"/>
      <c r="C113" s="3"/>
      <c r="D113" s="3"/>
      <c r="E113" s="3"/>
      <c r="F113" s="3"/>
      <c r="G113" s="3"/>
      <c r="H113" s="3"/>
      <c r="I113" s="3"/>
      <c r="J113" s="3"/>
      <c r="K113" s="3"/>
      <c r="L113" s="3"/>
    </row>
    <row r="114" spans="2:12">
      <c r="B114" s="3"/>
      <c r="C114" s="3"/>
      <c r="D114" s="3"/>
      <c r="E114" s="3"/>
      <c r="F114" s="3"/>
      <c r="G114" s="3"/>
      <c r="H114" s="3"/>
      <c r="I114" s="3"/>
      <c r="J114" s="3"/>
      <c r="K114" s="3"/>
      <c r="L114" s="3"/>
    </row>
    <row r="115" spans="2:12">
      <c r="B115" s="3"/>
      <c r="C115" s="3"/>
      <c r="D115" s="3"/>
      <c r="E115" s="3"/>
      <c r="F115" s="3"/>
      <c r="G115" s="3"/>
      <c r="H115" s="3"/>
      <c r="I115" s="3"/>
      <c r="J115" s="3"/>
      <c r="K115" s="3"/>
      <c r="L115" s="3"/>
    </row>
    <row r="116" spans="2:12">
      <c r="B116" s="3"/>
      <c r="C116" s="3"/>
      <c r="D116" s="3"/>
      <c r="E116" s="3"/>
      <c r="F116" s="3"/>
      <c r="G116" s="3"/>
      <c r="H116" s="3"/>
      <c r="I116" s="3"/>
      <c r="J116" s="3"/>
      <c r="K116" s="3"/>
      <c r="L116" s="3"/>
    </row>
    <row r="117" spans="2:12">
      <c r="B117" s="3"/>
      <c r="C117" s="3"/>
      <c r="D117" s="3"/>
      <c r="E117" s="3"/>
      <c r="F117" s="3"/>
      <c r="G117" s="3"/>
      <c r="H117" s="3"/>
      <c r="I117" s="3"/>
      <c r="J117" s="3"/>
      <c r="K117" s="3"/>
      <c r="L117" s="3"/>
    </row>
    <row r="118" spans="2:12">
      <c r="B118" s="3"/>
      <c r="C118" s="3"/>
      <c r="D118" s="3"/>
      <c r="E118" s="3"/>
      <c r="F118" s="3"/>
      <c r="G118" s="3"/>
      <c r="H118" s="3"/>
      <c r="I118" s="3"/>
      <c r="J118" s="3"/>
      <c r="K118" s="3"/>
      <c r="L118" s="3"/>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K57"/>
  <sheetViews>
    <sheetView tabSelected="1" view="pageBreakPreview" zoomScale="60" zoomScaleNormal="100" workbookViewId="0">
      <selection activeCell="D3" sqref="D3"/>
    </sheetView>
  </sheetViews>
  <sheetFormatPr defaultRowHeight="12.75"/>
  <cols>
    <col min="1" max="1" width="28.42578125" customWidth="1"/>
    <col min="4" max="4" width="26.85546875" customWidth="1"/>
    <col min="5" max="5" width="17.140625" customWidth="1"/>
    <col min="6" max="6" width="10.5703125" customWidth="1"/>
    <col min="8" max="8" width="15.42578125" customWidth="1"/>
    <col min="9" max="9" width="15.5703125" customWidth="1"/>
    <col min="11" max="11" width="14.85546875" customWidth="1"/>
  </cols>
  <sheetData>
    <row r="1" spans="1:11" ht="15.75">
      <c r="A1" s="1348" t="s">
        <v>387</v>
      </c>
      <c r="B1" s="1348"/>
      <c r="C1" s="1348"/>
      <c r="D1" s="1348"/>
      <c r="E1" s="1348"/>
      <c r="F1" s="1348"/>
      <c r="G1" s="1348"/>
      <c r="H1" s="1348"/>
      <c r="I1" s="1348"/>
      <c r="J1" s="1348"/>
      <c r="K1" s="1348"/>
    </row>
    <row r="2" spans="1:11" ht="15.75">
      <c r="A2" s="1349" t="s">
        <v>566</v>
      </c>
      <c r="B2" s="1349"/>
      <c r="C2" s="1349"/>
      <c r="D2" s="1349"/>
      <c r="E2" s="1349"/>
      <c r="F2" s="1349"/>
      <c r="G2" s="1349"/>
      <c r="H2" s="1349"/>
      <c r="I2" s="1349"/>
      <c r="J2" s="1349"/>
      <c r="K2" s="1349"/>
    </row>
    <row r="3" spans="1:11" ht="15.75">
      <c r="A3" s="1349" t="s">
        <v>567</v>
      </c>
      <c r="B3" s="1349"/>
      <c r="C3" s="1349"/>
      <c r="D3" s="1349"/>
      <c r="E3" s="1349"/>
      <c r="F3" s="1349"/>
      <c r="G3" s="1349"/>
      <c r="H3" s="1349"/>
      <c r="I3" s="1349"/>
      <c r="J3" s="1349"/>
      <c r="K3" s="1349"/>
    </row>
    <row r="4" spans="1:11" ht="15.75">
      <c r="A4" s="11"/>
      <c r="B4" s="11"/>
      <c r="C4" s="11"/>
      <c r="D4" s="1349"/>
      <c r="E4" s="1349"/>
      <c r="F4" s="1349"/>
      <c r="G4" s="1349"/>
      <c r="H4" s="11"/>
      <c r="I4" s="11"/>
      <c r="J4" s="11"/>
      <c r="K4" s="11"/>
    </row>
    <row r="7" spans="1:11" ht="16.5" thickBot="1">
      <c r="A7" s="562"/>
      <c r="B7" s="563"/>
      <c r="C7" s="563"/>
      <c r="D7" s="563"/>
      <c r="E7" s="563"/>
      <c r="F7" s="563"/>
      <c r="G7" s="563"/>
      <c r="H7" s="563"/>
      <c r="I7" s="563"/>
      <c r="J7" s="563"/>
      <c r="K7" s="563"/>
    </row>
    <row r="8" spans="1:11" ht="63">
      <c r="A8" s="564" t="str">
        <f>"Reconciliation Revenue Requirement For Year 2018 Available May 25, 2019"</f>
        <v>Reconciliation Revenue Requirement For Year 2018 Available May 25, 2019</v>
      </c>
      <c r="B8" s="563"/>
      <c r="C8" s="563"/>
      <c r="D8" s="564" t="s">
        <v>1008</v>
      </c>
      <c r="E8" s="563"/>
      <c r="F8" s="563"/>
      <c r="G8" s="11"/>
      <c r="H8" s="564" t="s">
        <v>547</v>
      </c>
      <c r="I8" s="11"/>
      <c r="J8" s="11"/>
      <c r="K8" s="11"/>
    </row>
    <row r="9" spans="1:11" ht="15.75">
      <c r="A9" s="565" t="s">
        <v>114</v>
      </c>
      <c r="B9" s="563"/>
      <c r="C9" s="563"/>
      <c r="D9" s="565"/>
      <c r="E9" s="563"/>
      <c r="F9" s="563"/>
      <c r="G9" s="11"/>
      <c r="H9" s="566"/>
      <c r="I9" s="11"/>
      <c r="J9" s="11"/>
      <c r="K9" s="11"/>
    </row>
    <row r="10" spans="1:11" ht="16.5" thickBot="1">
      <c r="A10" s="645">
        <v>0</v>
      </c>
      <c r="B10" s="567" t="str">
        <f>"-"</f>
        <v>-</v>
      </c>
      <c r="C10" s="568"/>
      <c r="D10" s="645">
        <v>0</v>
      </c>
      <c r="E10" s="569"/>
      <c r="F10" s="570" t="str">
        <f>"="</f>
        <v>=</v>
      </c>
      <c r="G10" s="571"/>
      <c r="H10" s="572">
        <f>IF(A10=0,0,D10-A10)</f>
        <v>0</v>
      </c>
      <c r="I10" s="11"/>
      <c r="J10" s="11"/>
      <c r="K10" s="11"/>
    </row>
    <row r="11" spans="1:11" ht="15.75">
      <c r="A11" s="573"/>
      <c r="B11" s="574"/>
      <c r="C11" s="574"/>
      <c r="D11" s="573"/>
      <c r="E11" s="573"/>
      <c r="F11" s="574"/>
      <c r="G11" s="573"/>
      <c r="H11" s="11"/>
      <c r="I11" s="11"/>
      <c r="J11" s="11"/>
      <c r="K11" s="11"/>
    </row>
    <row r="12" spans="1:11" ht="16.5" thickBot="1">
      <c r="A12" s="575"/>
      <c r="B12" s="576"/>
      <c r="C12" s="576"/>
      <c r="D12" s="575"/>
      <c r="E12" s="575"/>
      <c r="F12" s="576"/>
      <c r="G12" s="575"/>
      <c r="H12" s="577"/>
      <c r="I12" s="577"/>
      <c r="J12" s="577"/>
      <c r="K12" s="577"/>
    </row>
    <row r="13" spans="1:11" ht="15.75">
      <c r="A13" s="578"/>
      <c r="B13" s="574"/>
      <c r="C13" s="574"/>
      <c r="D13" s="573"/>
      <c r="E13" s="573"/>
      <c r="F13" s="574"/>
      <c r="G13" s="573"/>
      <c r="H13" s="11"/>
      <c r="I13" s="11"/>
      <c r="J13" s="11"/>
      <c r="K13" s="11"/>
    </row>
    <row r="14" spans="1:11" ht="63">
      <c r="A14" s="579" t="s">
        <v>548</v>
      </c>
      <c r="B14" s="574"/>
      <c r="C14" s="574"/>
      <c r="D14" s="580" t="s">
        <v>549</v>
      </c>
      <c r="E14" s="573"/>
      <c r="F14" s="580" t="s">
        <v>550</v>
      </c>
      <c r="G14" s="581" t="s">
        <v>551</v>
      </c>
      <c r="H14" s="582" t="s">
        <v>552</v>
      </c>
      <c r="I14" s="580" t="s">
        <v>553</v>
      </c>
      <c r="J14" s="583"/>
      <c r="K14" s="580" t="s">
        <v>554</v>
      </c>
    </row>
    <row r="15" spans="1:11" ht="15.75">
      <c r="A15" s="579" t="s">
        <v>555</v>
      </c>
      <c r="B15" s="574"/>
      <c r="C15" s="574"/>
      <c r="D15" s="11"/>
      <c r="E15" s="584"/>
      <c r="F15" s="646">
        <f>'WSQ NSPR'!F15</f>
        <v>4.0949999999999997E-3</v>
      </c>
      <c r="H15" s="11"/>
      <c r="I15" s="11"/>
      <c r="J15" s="11"/>
      <c r="K15" s="11"/>
    </row>
    <row r="16" spans="1:11" ht="15.75">
      <c r="A16" s="579"/>
      <c r="B16" s="574"/>
      <c r="C16" s="574"/>
      <c r="D16" s="11"/>
      <c r="E16" s="584"/>
      <c r="F16" s="584"/>
      <c r="G16" s="573"/>
      <c r="H16" s="11"/>
      <c r="I16" s="11"/>
      <c r="J16" s="11"/>
      <c r="K16" s="11"/>
    </row>
    <row r="17" spans="1:11" ht="15.75">
      <c r="A17" s="579" t="s">
        <v>1009</v>
      </c>
      <c r="B17" s="574"/>
      <c r="C17" s="574"/>
      <c r="D17" s="11"/>
      <c r="E17" s="584"/>
      <c r="F17" s="584"/>
      <c r="G17" s="573"/>
      <c r="H17" s="11"/>
      <c r="I17" s="11"/>
      <c r="J17" s="11"/>
      <c r="K17" s="11"/>
    </row>
    <row r="18" spans="1:11" ht="15.75">
      <c r="A18" s="585" t="s">
        <v>114</v>
      </c>
      <c r="B18" s="574"/>
      <c r="C18" s="574"/>
      <c r="D18" s="574"/>
      <c r="E18" s="574"/>
      <c r="F18" s="574" t="s">
        <v>114</v>
      </c>
      <c r="G18" s="11"/>
      <c r="H18" s="11"/>
      <c r="I18" s="11"/>
      <c r="J18" s="11"/>
      <c r="K18" s="11"/>
    </row>
    <row r="19" spans="1:11" ht="15.75">
      <c r="A19" s="586"/>
      <c r="B19" s="574"/>
      <c r="C19" s="574"/>
      <c r="D19" s="574"/>
      <c r="E19" s="574"/>
      <c r="F19" s="11"/>
      <c r="G19" s="11"/>
      <c r="H19" s="581"/>
      <c r="I19" s="574"/>
      <c r="J19" s="574"/>
      <c r="K19" s="574"/>
    </row>
    <row r="20" spans="1:11" ht="15.75">
      <c r="A20" s="586" t="s">
        <v>556</v>
      </c>
      <c r="B20" s="574"/>
      <c r="C20" s="574"/>
      <c r="D20" s="574"/>
      <c r="E20" s="574"/>
      <c r="F20" s="11"/>
      <c r="G20" s="11"/>
      <c r="H20" s="581" t="s">
        <v>557</v>
      </c>
      <c r="I20" s="574"/>
      <c r="J20" s="574"/>
      <c r="K20" s="574"/>
    </row>
    <row r="21" spans="1:11" ht="15.75">
      <c r="A21" s="563" t="s">
        <v>185</v>
      </c>
      <c r="B21" s="563" t="str">
        <f>"Year 2018"</f>
        <v>Year 2018</v>
      </c>
      <c r="C21" s="563"/>
      <c r="D21" s="587">
        <f>H10/12</f>
        <v>0</v>
      </c>
      <c r="E21" s="587"/>
      <c r="F21" s="588">
        <f>+F15</f>
        <v>4.0949999999999997E-3</v>
      </c>
      <c r="G21" s="563">
        <v>12</v>
      </c>
      <c r="H21" s="587">
        <f>F21*D21*G21*-1</f>
        <v>0</v>
      </c>
      <c r="I21" s="587"/>
      <c r="J21" s="587"/>
      <c r="K21" s="587">
        <f>(-H21+D21)*-1</f>
        <v>0</v>
      </c>
    </row>
    <row r="22" spans="1:11" ht="15.75">
      <c r="A22" s="563" t="s">
        <v>558</v>
      </c>
      <c r="B22" s="563" t="str">
        <f>B21</f>
        <v>Year 2018</v>
      </c>
      <c r="C22" s="563"/>
      <c r="D22" s="587">
        <f>+D21</f>
        <v>0</v>
      </c>
      <c r="E22" s="587"/>
      <c r="F22" s="588">
        <f>+F21</f>
        <v>4.0949999999999997E-3</v>
      </c>
      <c r="G22" s="563">
        <f t="shared" ref="G22:G32" si="0">+G21-1</f>
        <v>11</v>
      </c>
      <c r="H22" s="587">
        <f t="shared" ref="H22:H32" si="1">F22*D22*G22*-1</f>
        <v>0</v>
      </c>
      <c r="I22" s="587"/>
      <c r="J22" s="587"/>
      <c r="K22" s="587">
        <f t="shared" ref="K22:K32" si="2">(-H22+D22)*-1</f>
        <v>0</v>
      </c>
    </row>
    <row r="23" spans="1:11" ht="15.75">
      <c r="A23" s="563" t="s">
        <v>186</v>
      </c>
      <c r="B23" s="563" t="str">
        <f t="shared" ref="B23:B32" si="3">B22</f>
        <v>Year 2018</v>
      </c>
      <c r="C23" s="563"/>
      <c r="D23" s="587">
        <f t="shared" ref="D23:D32" si="4">+D22</f>
        <v>0</v>
      </c>
      <c r="E23" s="587"/>
      <c r="F23" s="588">
        <f t="shared" ref="F23:F32" si="5">+F22</f>
        <v>4.0949999999999997E-3</v>
      </c>
      <c r="G23" s="563">
        <f t="shared" si="0"/>
        <v>10</v>
      </c>
      <c r="H23" s="587">
        <f t="shared" si="1"/>
        <v>0</v>
      </c>
      <c r="I23" s="587"/>
      <c r="J23" s="587"/>
      <c r="K23" s="587">
        <f t="shared" si="2"/>
        <v>0</v>
      </c>
    </row>
    <row r="24" spans="1:11" ht="15.75">
      <c r="A24" s="563" t="s">
        <v>187</v>
      </c>
      <c r="B24" s="563" t="str">
        <f t="shared" si="3"/>
        <v>Year 2018</v>
      </c>
      <c r="C24" s="563"/>
      <c r="D24" s="587">
        <f t="shared" si="4"/>
        <v>0</v>
      </c>
      <c r="E24" s="587"/>
      <c r="F24" s="588">
        <f t="shared" si="5"/>
        <v>4.0949999999999997E-3</v>
      </c>
      <c r="G24" s="563">
        <f t="shared" si="0"/>
        <v>9</v>
      </c>
      <c r="H24" s="587">
        <f t="shared" si="1"/>
        <v>0</v>
      </c>
      <c r="I24" s="587"/>
      <c r="J24" s="587"/>
      <c r="K24" s="587">
        <f t="shared" si="2"/>
        <v>0</v>
      </c>
    </row>
    <row r="25" spans="1:11" ht="15.75">
      <c r="A25" s="563" t="s">
        <v>188</v>
      </c>
      <c r="B25" s="563" t="str">
        <f t="shared" si="3"/>
        <v>Year 2018</v>
      </c>
      <c r="C25" s="563"/>
      <c r="D25" s="587">
        <f t="shared" si="4"/>
        <v>0</v>
      </c>
      <c r="E25" s="587"/>
      <c r="F25" s="588">
        <f t="shared" si="5"/>
        <v>4.0949999999999997E-3</v>
      </c>
      <c r="G25" s="563">
        <f t="shared" si="0"/>
        <v>8</v>
      </c>
      <c r="H25" s="587">
        <f t="shared" si="1"/>
        <v>0</v>
      </c>
      <c r="I25" s="587"/>
      <c r="J25" s="587"/>
      <c r="K25" s="587">
        <f t="shared" si="2"/>
        <v>0</v>
      </c>
    </row>
    <row r="26" spans="1:11" ht="15.75">
      <c r="A26" s="563" t="s">
        <v>382</v>
      </c>
      <c r="B26" s="563" t="str">
        <f t="shared" si="3"/>
        <v>Year 2018</v>
      </c>
      <c r="C26" s="563"/>
      <c r="D26" s="587">
        <f t="shared" si="4"/>
        <v>0</v>
      </c>
      <c r="E26" s="587"/>
      <c r="F26" s="588">
        <f t="shared" si="5"/>
        <v>4.0949999999999997E-3</v>
      </c>
      <c r="G26" s="563">
        <f t="shared" si="0"/>
        <v>7</v>
      </c>
      <c r="H26" s="587">
        <f t="shared" si="1"/>
        <v>0</v>
      </c>
      <c r="I26" s="587"/>
      <c r="J26" s="587"/>
      <c r="K26" s="587">
        <f t="shared" si="2"/>
        <v>0</v>
      </c>
    </row>
    <row r="27" spans="1:11" ht="15.75">
      <c r="A27" s="563" t="s">
        <v>189</v>
      </c>
      <c r="B27" s="563" t="str">
        <f t="shared" si="3"/>
        <v>Year 2018</v>
      </c>
      <c r="C27" s="563"/>
      <c r="D27" s="587">
        <f t="shared" si="4"/>
        <v>0</v>
      </c>
      <c r="E27" s="587"/>
      <c r="F27" s="588">
        <f t="shared" si="5"/>
        <v>4.0949999999999997E-3</v>
      </c>
      <c r="G27" s="563">
        <f t="shared" si="0"/>
        <v>6</v>
      </c>
      <c r="H27" s="587">
        <f t="shared" si="1"/>
        <v>0</v>
      </c>
      <c r="I27" s="587"/>
      <c r="J27" s="587"/>
      <c r="K27" s="587">
        <f t="shared" si="2"/>
        <v>0</v>
      </c>
    </row>
    <row r="28" spans="1:11" ht="15.75">
      <c r="A28" s="563" t="s">
        <v>190</v>
      </c>
      <c r="B28" s="563" t="str">
        <f t="shared" si="3"/>
        <v>Year 2018</v>
      </c>
      <c r="C28" s="563"/>
      <c r="D28" s="587">
        <f t="shared" si="4"/>
        <v>0</v>
      </c>
      <c r="E28" s="587"/>
      <c r="F28" s="588">
        <f t="shared" si="5"/>
        <v>4.0949999999999997E-3</v>
      </c>
      <c r="G28" s="563">
        <f t="shared" si="0"/>
        <v>5</v>
      </c>
      <c r="H28" s="587">
        <f t="shared" si="1"/>
        <v>0</v>
      </c>
      <c r="I28" s="587"/>
      <c r="J28" s="587"/>
      <c r="K28" s="587">
        <f t="shared" si="2"/>
        <v>0</v>
      </c>
    </row>
    <row r="29" spans="1:11" ht="15.75">
      <c r="A29" s="563" t="s">
        <v>192</v>
      </c>
      <c r="B29" s="563" t="str">
        <f t="shared" si="3"/>
        <v>Year 2018</v>
      </c>
      <c r="C29" s="563"/>
      <c r="D29" s="587">
        <f t="shared" si="4"/>
        <v>0</v>
      </c>
      <c r="E29" s="587"/>
      <c r="F29" s="588">
        <f t="shared" si="5"/>
        <v>4.0949999999999997E-3</v>
      </c>
      <c r="G29" s="563">
        <f t="shared" si="0"/>
        <v>4</v>
      </c>
      <c r="H29" s="587">
        <f t="shared" si="1"/>
        <v>0</v>
      </c>
      <c r="I29" s="587"/>
      <c r="J29" s="587"/>
      <c r="K29" s="587">
        <f t="shared" si="2"/>
        <v>0</v>
      </c>
    </row>
    <row r="30" spans="1:11" ht="15.75">
      <c r="A30" s="563" t="s">
        <v>559</v>
      </c>
      <c r="B30" s="563" t="str">
        <f t="shared" si="3"/>
        <v>Year 2018</v>
      </c>
      <c r="C30" s="563"/>
      <c r="D30" s="587">
        <f t="shared" si="4"/>
        <v>0</v>
      </c>
      <c r="E30" s="587"/>
      <c r="F30" s="588">
        <f t="shared" si="5"/>
        <v>4.0949999999999997E-3</v>
      </c>
      <c r="G30" s="563">
        <f t="shared" si="0"/>
        <v>3</v>
      </c>
      <c r="H30" s="587">
        <f t="shared" si="1"/>
        <v>0</v>
      </c>
      <c r="I30" s="587"/>
      <c r="J30" s="587"/>
      <c r="K30" s="587">
        <f t="shared" si="2"/>
        <v>0</v>
      </c>
    </row>
    <row r="31" spans="1:11" ht="15.75">
      <c r="A31" s="563" t="s">
        <v>560</v>
      </c>
      <c r="B31" s="563" t="str">
        <f t="shared" si="3"/>
        <v>Year 2018</v>
      </c>
      <c r="C31" s="563"/>
      <c r="D31" s="587">
        <f t="shared" si="4"/>
        <v>0</v>
      </c>
      <c r="E31" s="587"/>
      <c r="F31" s="588">
        <f t="shared" si="5"/>
        <v>4.0949999999999997E-3</v>
      </c>
      <c r="G31" s="563">
        <f t="shared" si="0"/>
        <v>2</v>
      </c>
      <c r="H31" s="587">
        <f t="shared" si="1"/>
        <v>0</v>
      </c>
      <c r="I31" s="587"/>
      <c r="J31" s="587"/>
      <c r="K31" s="587">
        <f t="shared" si="2"/>
        <v>0</v>
      </c>
    </row>
    <row r="32" spans="1:11" ht="15.75">
      <c r="A32" s="563" t="s">
        <v>191</v>
      </c>
      <c r="B32" s="563" t="str">
        <f t="shared" si="3"/>
        <v>Year 2018</v>
      </c>
      <c r="C32" s="563"/>
      <c r="D32" s="587">
        <f t="shared" si="4"/>
        <v>0</v>
      </c>
      <c r="E32" s="587"/>
      <c r="F32" s="588">
        <f t="shared" si="5"/>
        <v>4.0949999999999997E-3</v>
      </c>
      <c r="G32" s="563">
        <f t="shared" si="0"/>
        <v>1</v>
      </c>
      <c r="H32" s="589">
        <f t="shared" si="1"/>
        <v>0</v>
      </c>
      <c r="I32" s="587"/>
      <c r="J32" s="587"/>
      <c r="K32" s="587">
        <f t="shared" si="2"/>
        <v>0</v>
      </c>
    </row>
    <row r="33" spans="1:11" ht="15.75">
      <c r="A33" s="563"/>
      <c r="B33" s="563"/>
      <c r="C33" s="563"/>
      <c r="D33" s="587"/>
      <c r="E33" s="587"/>
      <c r="F33" s="588"/>
      <c r="G33" s="563"/>
      <c r="H33" s="587">
        <f>SUM(H21:H32)</f>
        <v>0</v>
      </c>
      <c r="I33" s="587"/>
      <c r="J33" s="587"/>
      <c r="K33" s="590">
        <f>SUM(K21:K32)</f>
        <v>0</v>
      </c>
    </row>
    <row r="34" spans="1:11" ht="15.75">
      <c r="A34" s="563"/>
      <c r="B34" s="563"/>
      <c r="C34" s="563"/>
      <c r="D34" s="587"/>
      <c r="E34" s="587"/>
      <c r="F34" s="588"/>
      <c r="G34" s="563"/>
      <c r="H34" s="587"/>
      <c r="I34" s="587" t="s">
        <v>114</v>
      </c>
      <c r="J34" s="587"/>
      <c r="K34" s="11"/>
    </row>
    <row r="35" spans="1:11" ht="15.75">
      <c r="A35" s="563"/>
      <c r="B35" s="563"/>
      <c r="C35" s="563"/>
      <c r="D35" s="573"/>
      <c r="E35" s="573"/>
      <c r="F35" s="588"/>
      <c r="G35" s="563"/>
      <c r="H35" s="591" t="s">
        <v>561</v>
      </c>
      <c r="I35" s="587"/>
      <c r="J35" s="587"/>
      <c r="K35" s="587"/>
    </row>
    <row r="36" spans="1:11" ht="15.75">
      <c r="A36" s="563" t="s">
        <v>562</v>
      </c>
      <c r="B36" s="563" t="str">
        <f>"Year 2019"</f>
        <v>Year 2019</v>
      </c>
      <c r="C36" s="563"/>
      <c r="D36" s="573">
        <f>K33</f>
        <v>0</v>
      </c>
      <c r="E36" s="573"/>
      <c r="F36" s="588">
        <f>+F32</f>
        <v>4.0949999999999997E-3</v>
      </c>
      <c r="G36" s="563">
        <v>12</v>
      </c>
      <c r="H36" s="587">
        <f>+G36*F36*D36</f>
        <v>0</v>
      </c>
      <c r="I36" s="587"/>
      <c r="J36" s="587"/>
      <c r="K36" s="590">
        <f>+D36+H36</f>
        <v>0</v>
      </c>
    </row>
    <row r="37" spans="1:11" ht="15.75">
      <c r="A37" s="563"/>
      <c r="B37" s="563"/>
      <c r="C37" s="563"/>
      <c r="D37" s="573"/>
      <c r="E37" s="573"/>
      <c r="F37" s="588"/>
      <c r="G37" s="563"/>
      <c r="H37" s="587"/>
      <c r="I37" s="587"/>
      <c r="J37" s="587"/>
      <c r="K37" s="587"/>
    </row>
    <row r="38" spans="1:11" ht="15.75">
      <c r="A38" s="592" t="s">
        <v>563</v>
      </c>
      <c r="B38" s="563"/>
      <c r="C38" s="563"/>
      <c r="D38" s="587"/>
      <c r="E38" s="587"/>
      <c r="F38" s="588"/>
      <c r="G38" s="563"/>
      <c r="H38" s="591" t="s">
        <v>557</v>
      </c>
      <c r="I38" s="587"/>
      <c r="J38" s="587"/>
      <c r="K38" s="587"/>
    </row>
    <row r="39" spans="1:11" ht="15.75">
      <c r="A39" s="563" t="s">
        <v>185</v>
      </c>
      <c r="B39" s="563" t="str">
        <f>"Year 2020"</f>
        <v>Year 2020</v>
      </c>
      <c r="C39" s="563"/>
      <c r="D39" s="593">
        <f>-K36</f>
        <v>0</v>
      </c>
      <c r="E39" s="573"/>
      <c r="F39" s="588">
        <f>+F32</f>
        <v>4.0949999999999997E-3</v>
      </c>
      <c r="G39" s="563"/>
      <c r="H39" s="587">
        <f xml:space="preserve"> -F39*D39</f>
        <v>0</v>
      </c>
      <c r="I39" s="587">
        <f>PMT(F39,12,K$36)</f>
        <v>0</v>
      </c>
      <c r="J39" s="587"/>
      <c r="K39" s="587">
        <f>(+D39+D39*F39-I39)*-1</f>
        <v>0</v>
      </c>
    </row>
    <row r="40" spans="1:11" ht="15.75">
      <c r="A40" s="563" t="s">
        <v>558</v>
      </c>
      <c r="B40" s="563" t="str">
        <f>+B39</f>
        <v>Year 2020</v>
      </c>
      <c r="C40" s="563"/>
      <c r="D40" s="573">
        <f>-K39</f>
        <v>0</v>
      </c>
      <c r="E40" s="573"/>
      <c r="F40" s="588">
        <f>+F39</f>
        <v>4.0949999999999997E-3</v>
      </c>
      <c r="G40" s="563"/>
      <c r="H40" s="587">
        <f xml:space="preserve"> -F40*D40</f>
        <v>0</v>
      </c>
      <c r="I40" s="587">
        <f>I39</f>
        <v>0</v>
      </c>
      <c r="J40" s="587"/>
      <c r="K40" s="587">
        <f t="shared" ref="K40:K50" si="6">(+D40+D40*F40-I40)*-1</f>
        <v>0</v>
      </c>
    </row>
    <row r="41" spans="1:11" ht="15.75">
      <c r="A41" s="563" t="s">
        <v>186</v>
      </c>
      <c r="B41" s="563" t="str">
        <f>+B40</f>
        <v>Year 2020</v>
      </c>
      <c r="C41" s="563"/>
      <c r="D41" s="573">
        <f t="shared" ref="D41:D50" si="7">-K40</f>
        <v>0</v>
      </c>
      <c r="E41" s="573"/>
      <c r="F41" s="588">
        <f t="shared" ref="F41:F50" si="8">+F40</f>
        <v>4.0949999999999997E-3</v>
      </c>
      <c r="G41" s="563"/>
      <c r="H41" s="587">
        <f t="shared" ref="H41:H50" si="9" xml:space="preserve"> -F41*D41</f>
        <v>0</v>
      </c>
      <c r="I41" s="587">
        <f t="shared" ref="I41:I50" si="10">I40</f>
        <v>0</v>
      </c>
      <c r="J41" s="587"/>
      <c r="K41" s="587">
        <f t="shared" si="6"/>
        <v>0</v>
      </c>
    </row>
    <row r="42" spans="1:11" ht="15.75">
      <c r="A42" s="563" t="s">
        <v>187</v>
      </c>
      <c r="B42" s="563" t="str">
        <f>+B41</f>
        <v>Year 2020</v>
      </c>
      <c r="C42" s="563"/>
      <c r="D42" s="573">
        <f t="shared" si="7"/>
        <v>0</v>
      </c>
      <c r="E42" s="573"/>
      <c r="F42" s="588">
        <f t="shared" si="8"/>
        <v>4.0949999999999997E-3</v>
      </c>
      <c r="G42" s="563"/>
      <c r="H42" s="587">
        <f t="shared" si="9"/>
        <v>0</v>
      </c>
      <c r="I42" s="587">
        <f t="shared" si="10"/>
        <v>0</v>
      </c>
      <c r="J42" s="587"/>
      <c r="K42" s="587">
        <f t="shared" si="6"/>
        <v>0</v>
      </c>
    </row>
    <row r="43" spans="1:11" ht="15.75">
      <c r="A43" s="563" t="s">
        <v>188</v>
      </c>
      <c r="B43" s="563" t="str">
        <f>+B42</f>
        <v>Year 2020</v>
      </c>
      <c r="C43" s="563"/>
      <c r="D43" s="573">
        <f t="shared" si="7"/>
        <v>0</v>
      </c>
      <c r="E43" s="573"/>
      <c r="F43" s="588">
        <f t="shared" si="8"/>
        <v>4.0949999999999997E-3</v>
      </c>
      <c r="G43" s="563"/>
      <c r="H43" s="587">
        <f t="shared" si="9"/>
        <v>0</v>
      </c>
      <c r="I43" s="587">
        <f>I42</f>
        <v>0</v>
      </c>
      <c r="J43" s="587"/>
      <c r="K43" s="587">
        <f t="shared" si="6"/>
        <v>0</v>
      </c>
    </row>
    <row r="44" spans="1:11" ht="15.75">
      <c r="A44" s="563" t="s">
        <v>382</v>
      </c>
      <c r="B44" s="563" t="str">
        <f>B43</f>
        <v>Year 2020</v>
      </c>
      <c r="C44" s="11"/>
      <c r="D44" s="573">
        <f t="shared" si="7"/>
        <v>0</v>
      </c>
      <c r="E44" s="573"/>
      <c r="F44" s="588">
        <f t="shared" si="8"/>
        <v>4.0949999999999997E-3</v>
      </c>
      <c r="G44" s="563"/>
      <c r="H44" s="587">
        <f t="shared" si="9"/>
        <v>0</v>
      </c>
      <c r="I44" s="587">
        <f t="shared" si="10"/>
        <v>0</v>
      </c>
      <c r="J44" s="587"/>
      <c r="K44" s="587">
        <f t="shared" si="6"/>
        <v>0</v>
      </c>
    </row>
    <row r="45" spans="1:11" ht="15.75">
      <c r="A45" s="563" t="s">
        <v>189</v>
      </c>
      <c r="B45" s="563" t="str">
        <f t="shared" ref="B45:B50" si="11">+B44</f>
        <v>Year 2020</v>
      </c>
      <c r="C45" s="563"/>
      <c r="D45" s="573">
        <f t="shared" si="7"/>
        <v>0</v>
      </c>
      <c r="E45" s="573"/>
      <c r="F45" s="588">
        <f t="shared" si="8"/>
        <v>4.0949999999999997E-3</v>
      </c>
      <c r="G45" s="563"/>
      <c r="H45" s="587">
        <f t="shared" si="9"/>
        <v>0</v>
      </c>
      <c r="I45" s="587">
        <f t="shared" si="10"/>
        <v>0</v>
      </c>
      <c r="J45" s="587"/>
      <c r="K45" s="587">
        <f t="shared" si="6"/>
        <v>0</v>
      </c>
    </row>
    <row r="46" spans="1:11" ht="15.75">
      <c r="A46" s="563" t="s">
        <v>190</v>
      </c>
      <c r="B46" s="563" t="str">
        <f t="shared" si="11"/>
        <v>Year 2020</v>
      </c>
      <c r="C46" s="563"/>
      <c r="D46" s="573">
        <f t="shared" si="7"/>
        <v>0</v>
      </c>
      <c r="E46" s="573"/>
      <c r="F46" s="588">
        <f t="shared" si="8"/>
        <v>4.0949999999999997E-3</v>
      </c>
      <c r="G46" s="563"/>
      <c r="H46" s="587">
        <f t="shared" si="9"/>
        <v>0</v>
      </c>
      <c r="I46" s="587">
        <f t="shared" si="10"/>
        <v>0</v>
      </c>
      <c r="J46" s="587"/>
      <c r="K46" s="587">
        <f t="shared" si="6"/>
        <v>0</v>
      </c>
    </row>
    <row r="47" spans="1:11" ht="15.75">
      <c r="A47" s="563" t="s">
        <v>192</v>
      </c>
      <c r="B47" s="563" t="str">
        <f t="shared" si="11"/>
        <v>Year 2020</v>
      </c>
      <c r="C47" s="563"/>
      <c r="D47" s="573">
        <f t="shared" si="7"/>
        <v>0</v>
      </c>
      <c r="E47" s="573"/>
      <c r="F47" s="588">
        <f t="shared" si="8"/>
        <v>4.0949999999999997E-3</v>
      </c>
      <c r="G47" s="563"/>
      <c r="H47" s="587">
        <f t="shared" si="9"/>
        <v>0</v>
      </c>
      <c r="I47" s="587">
        <f>I46</f>
        <v>0</v>
      </c>
      <c r="J47" s="587"/>
      <c r="K47" s="587">
        <f t="shared" si="6"/>
        <v>0</v>
      </c>
    </row>
    <row r="48" spans="1:11" ht="15.75">
      <c r="A48" s="563" t="s">
        <v>559</v>
      </c>
      <c r="B48" s="563" t="str">
        <f t="shared" si="11"/>
        <v>Year 2020</v>
      </c>
      <c r="C48" s="563"/>
      <c r="D48" s="573">
        <f t="shared" si="7"/>
        <v>0</v>
      </c>
      <c r="E48" s="573"/>
      <c r="F48" s="588">
        <f t="shared" si="8"/>
        <v>4.0949999999999997E-3</v>
      </c>
      <c r="G48" s="563"/>
      <c r="H48" s="587">
        <f t="shared" si="9"/>
        <v>0</v>
      </c>
      <c r="I48" s="587">
        <f t="shared" si="10"/>
        <v>0</v>
      </c>
      <c r="J48" s="587"/>
      <c r="K48" s="587">
        <f t="shared" si="6"/>
        <v>0</v>
      </c>
    </row>
    <row r="49" spans="1:11" ht="15.75">
      <c r="A49" s="563" t="s">
        <v>560</v>
      </c>
      <c r="B49" s="563" t="str">
        <f t="shared" si="11"/>
        <v>Year 2020</v>
      </c>
      <c r="C49" s="563"/>
      <c r="D49" s="573">
        <f t="shared" si="7"/>
        <v>0</v>
      </c>
      <c r="E49" s="573"/>
      <c r="F49" s="588">
        <f t="shared" si="8"/>
        <v>4.0949999999999997E-3</v>
      </c>
      <c r="G49" s="563"/>
      <c r="H49" s="587">
        <f t="shared" si="9"/>
        <v>0</v>
      </c>
      <c r="I49" s="587">
        <f t="shared" si="10"/>
        <v>0</v>
      </c>
      <c r="J49" s="587"/>
      <c r="K49" s="587">
        <f t="shared" si="6"/>
        <v>0</v>
      </c>
    </row>
    <row r="50" spans="1:11" ht="15.75">
      <c r="A50" s="563" t="s">
        <v>191</v>
      </c>
      <c r="B50" s="563" t="str">
        <f t="shared" si="11"/>
        <v>Year 2020</v>
      </c>
      <c r="C50" s="563"/>
      <c r="D50" s="573">
        <f t="shared" si="7"/>
        <v>0</v>
      </c>
      <c r="E50" s="573"/>
      <c r="F50" s="588">
        <f t="shared" si="8"/>
        <v>4.0949999999999997E-3</v>
      </c>
      <c r="G50" s="563"/>
      <c r="H50" s="589">
        <f t="shared" si="9"/>
        <v>0</v>
      </c>
      <c r="I50" s="587">
        <f t="shared" si="10"/>
        <v>0</v>
      </c>
      <c r="J50" s="587"/>
      <c r="K50" s="587">
        <f t="shared" si="6"/>
        <v>0</v>
      </c>
    </row>
    <row r="51" spans="1:11" ht="15.75">
      <c r="A51" s="563"/>
      <c r="B51" s="563"/>
      <c r="C51" s="563"/>
      <c r="D51" s="573"/>
      <c r="E51" s="573"/>
      <c r="F51" s="588"/>
      <c r="G51" s="563"/>
      <c r="H51" s="587">
        <f>SUM(H39:H50)</f>
        <v>0</v>
      </c>
      <c r="I51" s="587"/>
      <c r="J51" s="587"/>
      <c r="K51" s="587"/>
    </row>
    <row r="52" spans="1:11" ht="15">
      <c r="A52" s="11"/>
      <c r="B52" s="11"/>
      <c r="C52" s="11"/>
      <c r="D52" s="11"/>
      <c r="E52" s="11"/>
      <c r="F52" s="11"/>
      <c r="G52" s="11"/>
      <c r="H52" s="11"/>
      <c r="I52" s="594"/>
      <c r="J52" s="11"/>
      <c r="K52" s="11"/>
    </row>
    <row r="53" spans="1:11" ht="15.75">
      <c r="A53" s="563" t="s">
        <v>568</v>
      </c>
      <c r="B53" s="11"/>
      <c r="C53" s="11"/>
      <c r="D53" s="11"/>
      <c r="E53" s="11"/>
      <c r="F53" s="11"/>
      <c r="G53" s="11"/>
      <c r="H53" s="11"/>
      <c r="I53" s="595">
        <f>(SUM(I39:I50)*-1)</f>
        <v>0</v>
      </c>
      <c r="J53" s="11"/>
      <c r="K53" s="11"/>
    </row>
    <row r="54" spans="1:11" ht="15.75">
      <c r="A54" s="563" t="s">
        <v>564</v>
      </c>
      <c r="B54" s="11"/>
      <c r="C54" s="11"/>
      <c r="D54" s="11"/>
      <c r="E54" s="11"/>
      <c r="F54" s="11"/>
      <c r="G54" s="11"/>
      <c r="H54" s="11"/>
      <c r="I54" s="596">
        <f>+H10</f>
        <v>0</v>
      </c>
      <c r="J54" s="11"/>
      <c r="K54" s="11"/>
    </row>
    <row r="55" spans="1:11" ht="15.75">
      <c r="A55" s="563" t="s">
        <v>565</v>
      </c>
      <c r="B55" s="11"/>
      <c r="C55" s="11"/>
      <c r="D55" s="11"/>
      <c r="E55" s="11"/>
      <c r="F55" s="11"/>
      <c r="G55" s="11"/>
      <c r="H55" s="11"/>
      <c r="I55" s="595">
        <f>(I53+I54)</f>
        <v>0</v>
      </c>
      <c r="J55" s="11"/>
      <c r="K55" s="11"/>
    </row>
    <row r="57" spans="1:11" ht="102" customHeight="1">
      <c r="A57" s="1350" t="s">
        <v>569</v>
      </c>
      <c r="B57" s="1350"/>
      <c r="C57" s="1350"/>
      <c r="D57" s="1350"/>
      <c r="E57" s="597"/>
      <c r="F57" s="597"/>
      <c r="G57" s="597"/>
      <c r="H57" s="597"/>
      <c r="I57" s="597"/>
      <c r="J57" s="597"/>
      <c r="K57" s="597"/>
    </row>
  </sheetData>
  <mergeCells count="5">
    <mergeCell ref="A1:K1"/>
    <mergeCell ref="A2:K2"/>
    <mergeCell ref="A3:K3"/>
    <mergeCell ref="D4:G4"/>
    <mergeCell ref="A57:D57"/>
  </mergeCells>
  <pageMargins left="0.7" right="0.7" top="0.75" bottom="0.75" header="0.3" footer="0.3"/>
  <pageSetup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57"/>
  <sheetViews>
    <sheetView tabSelected="1" view="pageBreakPreview" topLeftCell="A7" zoomScale="60" zoomScaleNormal="100" workbookViewId="0">
      <selection activeCell="D3" sqref="D3"/>
    </sheetView>
  </sheetViews>
  <sheetFormatPr defaultRowHeight="12.75"/>
  <cols>
    <col min="1" max="1" width="26.5703125" customWidth="1"/>
    <col min="4" max="4" width="27.5703125" customWidth="1"/>
    <col min="6" max="6" width="11.5703125" bestFit="1" customWidth="1"/>
    <col min="8" max="8" width="20.85546875" customWidth="1"/>
    <col min="9" max="9" width="16" customWidth="1"/>
    <col min="11" max="11" width="19.5703125" customWidth="1"/>
  </cols>
  <sheetData>
    <row r="1" spans="1:11" ht="15.75">
      <c r="A1" s="1348" t="s">
        <v>387</v>
      </c>
      <c r="B1" s="1348"/>
      <c r="C1" s="1348"/>
      <c r="D1" s="1348"/>
      <c r="E1" s="1348"/>
      <c r="F1" s="1348"/>
      <c r="G1" s="1348"/>
      <c r="H1" s="1348"/>
      <c r="I1" s="1348"/>
      <c r="J1" s="1348"/>
      <c r="K1" s="1348"/>
    </row>
    <row r="2" spans="1:11" ht="15.75">
      <c r="A2" s="1349" t="s">
        <v>566</v>
      </c>
      <c r="B2" s="1349"/>
      <c r="C2" s="1349"/>
      <c r="D2" s="1349"/>
      <c r="E2" s="1349"/>
      <c r="F2" s="1349"/>
      <c r="G2" s="1349"/>
      <c r="H2" s="1349"/>
      <c r="I2" s="1349"/>
      <c r="J2" s="1349"/>
      <c r="K2" s="1349"/>
    </row>
    <row r="3" spans="1:11" ht="15.75">
      <c r="A3" s="1349" t="s">
        <v>567</v>
      </c>
      <c r="B3" s="1349"/>
      <c r="C3" s="1349"/>
      <c r="D3" s="1349"/>
      <c r="E3" s="1349"/>
      <c r="F3" s="1349"/>
      <c r="G3" s="1349"/>
      <c r="H3" s="1349"/>
      <c r="I3" s="1349"/>
      <c r="J3" s="1349"/>
      <c r="K3" s="1349"/>
    </row>
    <row r="4" spans="1:11" ht="15.75">
      <c r="A4" s="11"/>
      <c r="B4" s="11"/>
      <c r="C4" s="11"/>
      <c r="D4" s="1349"/>
      <c r="E4" s="1349"/>
      <c r="F4" s="1349"/>
      <c r="G4" s="1349"/>
      <c r="H4" s="11"/>
      <c r="I4" s="11"/>
      <c r="J4" s="11"/>
      <c r="K4" s="11"/>
    </row>
    <row r="7" spans="1:11" ht="16.5" thickBot="1">
      <c r="A7" s="562"/>
      <c r="B7" s="563"/>
      <c r="C7" s="563"/>
      <c r="D7" s="563"/>
      <c r="E7" s="563"/>
      <c r="F7" s="563"/>
      <c r="G7" s="563"/>
      <c r="H7" s="563"/>
      <c r="I7" s="563"/>
      <c r="J7" s="563"/>
      <c r="K7" s="563"/>
    </row>
    <row r="8" spans="1:11" ht="47.25">
      <c r="A8" s="564" t="str">
        <f>"Reconciliation Revenue Requirement For Year 2018 Available May 25, 2019"</f>
        <v>Reconciliation Revenue Requirement For Year 2018 Available May 25, 2019</v>
      </c>
      <c r="B8" s="563"/>
      <c r="C8" s="563"/>
      <c r="D8" s="564" t="s">
        <v>1008</v>
      </c>
      <c r="E8" s="563"/>
      <c r="F8" s="563"/>
      <c r="G8" s="11"/>
      <c r="H8" s="564" t="s">
        <v>547</v>
      </c>
      <c r="I8" s="11"/>
      <c r="J8" s="11"/>
      <c r="K8" s="11"/>
    </row>
    <row r="9" spans="1:11" ht="15.75">
      <c r="A9" s="565" t="s">
        <v>114</v>
      </c>
      <c r="B9" s="563"/>
      <c r="C9" s="563"/>
      <c r="D9" s="565"/>
      <c r="E9" s="563"/>
      <c r="F9" s="563"/>
      <c r="G9" s="11"/>
      <c r="H9" s="566"/>
      <c r="I9" s="11"/>
      <c r="J9" s="11"/>
      <c r="K9" s="11"/>
    </row>
    <row r="10" spans="1:11" ht="16.5" thickBot="1">
      <c r="A10" s="645">
        <v>0</v>
      </c>
      <c r="B10" s="567" t="str">
        <f>"-"</f>
        <v>-</v>
      </c>
      <c r="C10" s="568"/>
      <c r="D10" s="645">
        <v>0</v>
      </c>
      <c r="E10" s="569"/>
      <c r="F10" s="570" t="str">
        <f>"="</f>
        <v>=</v>
      </c>
      <c r="G10" s="571"/>
      <c r="H10" s="572">
        <f>IF(A10=0,0,D10-A10)</f>
        <v>0</v>
      </c>
      <c r="I10" s="11"/>
      <c r="J10" s="11"/>
      <c r="K10" s="11"/>
    </row>
    <row r="11" spans="1:11" ht="15.75">
      <c r="A11" s="573"/>
      <c r="B11" s="574"/>
      <c r="C11" s="574"/>
      <c r="D11" s="573"/>
      <c r="E11" s="573"/>
      <c r="F11" s="574"/>
      <c r="G11" s="573"/>
      <c r="H11" s="11"/>
      <c r="I11" s="11"/>
      <c r="J11" s="11"/>
      <c r="K11" s="11"/>
    </row>
    <row r="12" spans="1:11" ht="16.5" thickBot="1">
      <c r="A12" s="575"/>
      <c r="B12" s="576"/>
      <c r="C12" s="576"/>
      <c r="D12" s="575"/>
      <c r="E12" s="575"/>
      <c r="F12" s="576"/>
      <c r="G12" s="575"/>
      <c r="H12" s="577"/>
      <c r="I12" s="577"/>
      <c r="J12" s="577"/>
      <c r="K12" s="577"/>
    </row>
    <row r="13" spans="1:11" ht="15.75">
      <c r="A13" s="578"/>
      <c r="B13" s="574"/>
      <c r="C13" s="574"/>
      <c r="D13" s="573"/>
      <c r="E13" s="573"/>
      <c r="F13" s="574"/>
      <c r="G13" s="573"/>
      <c r="H13" s="11"/>
      <c r="I13" s="11"/>
      <c r="J13" s="11"/>
      <c r="K13" s="11"/>
    </row>
    <row r="14" spans="1:11" ht="63">
      <c r="A14" s="579" t="s">
        <v>548</v>
      </c>
      <c r="B14" s="574"/>
      <c r="C14" s="574"/>
      <c r="D14" s="580" t="s">
        <v>549</v>
      </c>
      <c r="E14" s="573"/>
      <c r="F14" s="580" t="s">
        <v>550</v>
      </c>
      <c r="G14" s="581" t="s">
        <v>551</v>
      </c>
      <c r="H14" s="582" t="s">
        <v>552</v>
      </c>
      <c r="I14" s="580" t="s">
        <v>553</v>
      </c>
      <c r="J14" s="583"/>
      <c r="K14" s="580" t="s">
        <v>554</v>
      </c>
    </row>
    <row r="15" spans="1:11" ht="15.75">
      <c r="A15" s="579" t="s">
        <v>555</v>
      </c>
      <c r="B15" s="574"/>
      <c r="C15" s="574"/>
      <c r="D15" s="11"/>
      <c r="E15" s="584"/>
      <c r="F15" s="646">
        <f>'WSQ NSPR'!F15</f>
        <v>4.0949999999999997E-3</v>
      </c>
      <c r="H15" s="11"/>
      <c r="I15" s="11"/>
      <c r="J15" s="11"/>
      <c r="K15" s="11"/>
    </row>
    <row r="16" spans="1:11" ht="15.75">
      <c r="A16" s="579"/>
      <c r="B16" s="574"/>
      <c r="C16" s="574"/>
      <c r="D16" s="11"/>
      <c r="E16" s="584"/>
      <c r="F16" s="584"/>
      <c r="G16" s="573"/>
      <c r="H16" s="11"/>
      <c r="I16" s="11"/>
      <c r="J16" s="11"/>
      <c r="K16" s="11"/>
    </row>
    <row r="17" spans="1:11" ht="15.75">
      <c r="A17" s="579" t="s">
        <v>1009</v>
      </c>
      <c r="B17" s="574"/>
      <c r="C17" s="574"/>
      <c r="D17" s="11"/>
      <c r="E17" s="584"/>
      <c r="F17" s="584"/>
      <c r="G17" s="573"/>
      <c r="H17" s="11"/>
      <c r="I17" s="11"/>
      <c r="J17" s="11"/>
      <c r="K17" s="11"/>
    </row>
    <row r="18" spans="1:11" ht="15.75">
      <c r="A18" s="585" t="s">
        <v>114</v>
      </c>
      <c r="B18" s="574"/>
      <c r="C18" s="574"/>
      <c r="D18" s="574"/>
      <c r="E18" s="574"/>
      <c r="F18" s="574" t="s">
        <v>114</v>
      </c>
      <c r="G18" s="11"/>
      <c r="H18" s="11"/>
      <c r="I18" s="11"/>
      <c r="J18" s="11"/>
      <c r="K18" s="11"/>
    </row>
    <row r="19" spans="1:11" ht="15.75">
      <c r="A19" s="586"/>
      <c r="B19" s="574"/>
      <c r="C19" s="574"/>
      <c r="D19" s="574"/>
      <c r="E19" s="574"/>
      <c r="F19" s="11"/>
      <c r="G19" s="11"/>
      <c r="H19" s="581"/>
      <c r="I19" s="574"/>
      <c r="J19" s="574"/>
      <c r="K19" s="574"/>
    </row>
    <row r="20" spans="1:11" ht="15.75">
      <c r="A20" s="586" t="s">
        <v>556</v>
      </c>
      <c r="B20" s="574"/>
      <c r="C20" s="574"/>
      <c r="D20" s="574"/>
      <c r="E20" s="574"/>
      <c r="F20" s="11"/>
      <c r="G20" s="11"/>
      <c r="H20" s="581" t="s">
        <v>557</v>
      </c>
      <c r="I20" s="574"/>
      <c r="J20" s="574"/>
      <c r="K20" s="574"/>
    </row>
    <row r="21" spans="1:11" ht="15.75">
      <c r="A21" s="563" t="s">
        <v>185</v>
      </c>
      <c r="B21" s="563" t="str">
        <f>"Year 2018"</f>
        <v>Year 2018</v>
      </c>
      <c r="C21" s="563"/>
      <c r="D21" s="587">
        <f>H10/12</f>
        <v>0</v>
      </c>
      <c r="E21" s="587"/>
      <c r="F21" s="588">
        <f>+F15</f>
        <v>4.0949999999999997E-3</v>
      </c>
      <c r="G21" s="563">
        <v>12</v>
      </c>
      <c r="H21" s="587">
        <f>F21*D21*G21*-1</f>
        <v>0</v>
      </c>
      <c r="I21" s="587"/>
      <c r="J21" s="587"/>
      <c r="K21" s="587">
        <f>(-H21+D21)*-1</f>
        <v>0</v>
      </c>
    </row>
    <row r="22" spans="1:11" ht="15.75">
      <c r="A22" s="563" t="s">
        <v>558</v>
      </c>
      <c r="B22" s="563" t="str">
        <f>B21</f>
        <v>Year 2018</v>
      </c>
      <c r="C22" s="563"/>
      <c r="D22" s="587">
        <f>+D21</f>
        <v>0</v>
      </c>
      <c r="E22" s="587"/>
      <c r="F22" s="588">
        <f>+F21</f>
        <v>4.0949999999999997E-3</v>
      </c>
      <c r="G22" s="563">
        <f t="shared" ref="G22:G32" si="0">+G21-1</f>
        <v>11</v>
      </c>
      <c r="H22" s="587">
        <f t="shared" ref="H22:H32" si="1">F22*D22*G22*-1</f>
        <v>0</v>
      </c>
      <c r="I22" s="587"/>
      <c r="J22" s="587"/>
      <c r="K22" s="587">
        <f t="shared" ref="K22:K32" si="2">(-H22+D22)*-1</f>
        <v>0</v>
      </c>
    </row>
    <row r="23" spans="1:11" ht="15.75">
      <c r="A23" s="563" t="s">
        <v>186</v>
      </c>
      <c r="B23" s="563" t="str">
        <f t="shared" ref="B23:B32" si="3">B22</f>
        <v>Year 2018</v>
      </c>
      <c r="C23" s="563"/>
      <c r="D23" s="587">
        <f t="shared" ref="D23:D32" si="4">+D22</f>
        <v>0</v>
      </c>
      <c r="E23" s="587"/>
      <c r="F23" s="588">
        <f t="shared" ref="F23:F32" si="5">+F22</f>
        <v>4.0949999999999997E-3</v>
      </c>
      <c r="G23" s="563">
        <f t="shared" si="0"/>
        <v>10</v>
      </c>
      <c r="H23" s="587">
        <f t="shared" si="1"/>
        <v>0</v>
      </c>
      <c r="I23" s="587"/>
      <c r="J23" s="587"/>
      <c r="K23" s="587">
        <f t="shared" si="2"/>
        <v>0</v>
      </c>
    </row>
    <row r="24" spans="1:11" ht="15.75">
      <c r="A24" s="563" t="s">
        <v>187</v>
      </c>
      <c r="B24" s="563" t="str">
        <f t="shared" si="3"/>
        <v>Year 2018</v>
      </c>
      <c r="C24" s="563"/>
      <c r="D24" s="587">
        <f t="shared" si="4"/>
        <v>0</v>
      </c>
      <c r="E24" s="587"/>
      <c r="F24" s="588">
        <f t="shared" si="5"/>
        <v>4.0949999999999997E-3</v>
      </c>
      <c r="G24" s="563">
        <f t="shared" si="0"/>
        <v>9</v>
      </c>
      <c r="H24" s="587">
        <f t="shared" si="1"/>
        <v>0</v>
      </c>
      <c r="I24" s="587"/>
      <c r="J24" s="587"/>
      <c r="K24" s="587">
        <f t="shared" si="2"/>
        <v>0</v>
      </c>
    </row>
    <row r="25" spans="1:11" ht="15.75">
      <c r="A25" s="563" t="s">
        <v>188</v>
      </c>
      <c r="B25" s="563" t="str">
        <f t="shared" si="3"/>
        <v>Year 2018</v>
      </c>
      <c r="C25" s="563"/>
      <c r="D25" s="587">
        <f t="shared" si="4"/>
        <v>0</v>
      </c>
      <c r="E25" s="587"/>
      <c r="F25" s="588">
        <f t="shared" si="5"/>
        <v>4.0949999999999997E-3</v>
      </c>
      <c r="G25" s="563">
        <f t="shared" si="0"/>
        <v>8</v>
      </c>
      <c r="H25" s="587">
        <f t="shared" si="1"/>
        <v>0</v>
      </c>
      <c r="I25" s="587"/>
      <c r="J25" s="587"/>
      <c r="K25" s="587">
        <f t="shared" si="2"/>
        <v>0</v>
      </c>
    </row>
    <row r="26" spans="1:11" ht="15.75">
      <c r="A26" s="563" t="s">
        <v>382</v>
      </c>
      <c r="B26" s="563" t="str">
        <f t="shared" si="3"/>
        <v>Year 2018</v>
      </c>
      <c r="C26" s="563"/>
      <c r="D26" s="587">
        <f t="shared" si="4"/>
        <v>0</v>
      </c>
      <c r="E26" s="587"/>
      <c r="F26" s="588">
        <f t="shared" si="5"/>
        <v>4.0949999999999997E-3</v>
      </c>
      <c r="G26" s="563">
        <f t="shared" si="0"/>
        <v>7</v>
      </c>
      <c r="H26" s="587">
        <f t="shared" si="1"/>
        <v>0</v>
      </c>
      <c r="I26" s="587"/>
      <c r="J26" s="587"/>
      <c r="K26" s="587">
        <f t="shared" si="2"/>
        <v>0</v>
      </c>
    </row>
    <row r="27" spans="1:11" ht="15.75">
      <c r="A27" s="563" t="s">
        <v>189</v>
      </c>
      <c r="B27" s="563" t="str">
        <f t="shared" si="3"/>
        <v>Year 2018</v>
      </c>
      <c r="C27" s="563"/>
      <c r="D27" s="587">
        <f t="shared" si="4"/>
        <v>0</v>
      </c>
      <c r="E27" s="587"/>
      <c r="F27" s="588">
        <f t="shared" si="5"/>
        <v>4.0949999999999997E-3</v>
      </c>
      <c r="G27" s="563">
        <f t="shared" si="0"/>
        <v>6</v>
      </c>
      <c r="H27" s="587">
        <f t="shared" si="1"/>
        <v>0</v>
      </c>
      <c r="I27" s="587"/>
      <c r="J27" s="587"/>
      <c r="K27" s="587">
        <f t="shared" si="2"/>
        <v>0</v>
      </c>
    </row>
    <row r="28" spans="1:11" ht="15.75">
      <c r="A28" s="563" t="s">
        <v>190</v>
      </c>
      <c r="B28" s="563" t="str">
        <f t="shared" si="3"/>
        <v>Year 2018</v>
      </c>
      <c r="C28" s="563"/>
      <c r="D28" s="587">
        <f t="shared" si="4"/>
        <v>0</v>
      </c>
      <c r="E28" s="587"/>
      <c r="F28" s="588">
        <f t="shared" si="5"/>
        <v>4.0949999999999997E-3</v>
      </c>
      <c r="G28" s="563">
        <f t="shared" si="0"/>
        <v>5</v>
      </c>
      <c r="H28" s="587">
        <f t="shared" si="1"/>
        <v>0</v>
      </c>
      <c r="I28" s="587"/>
      <c r="J28" s="587"/>
      <c r="K28" s="587">
        <f t="shared" si="2"/>
        <v>0</v>
      </c>
    </row>
    <row r="29" spans="1:11" ht="15.75">
      <c r="A29" s="563" t="s">
        <v>192</v>
      </c>
      <c r="B29" s="563" t="str">
        <f t="shared" si="3"/>
        <v>Year 2018</v>
      </c>
      <c r="C29" s="563"/>
      <c r="D29" s="587">
        <f t="shared" si="4"/>
        <v>0</v>
      </c>
      <c r="E29" s="587"/>
      <c r="F29" s="588">
        <f t="shared" si="5"/>
        <v>4.0949999999999997E-3</v>
      </c>
      <c r="G29" s="563">
        <f t="shared" si="0"/>
        <v>4</v>
      </c>
      <c r="H29" s="587">
        <f t="shared" si="1"/>
        <v>0</v>
      </c>
      <c r="I29" s="587"/>
      <c r="J29" s="587"/>
      <c r="K29" s="587">
        <f t="shared" si="2"/>
        <v>0</v>
      </c>
    </row>
    <row r="30" spans="1:11" ht="15.75">
      <c r="A30" s="563" t="s">
        <v>559</v>
      </c>
      <c r="B30" s="563" t="str">
        <f t="shared" si="3"/>
        <v>Year 2018</v>
      </c>
      <c r="C30" s="563"/>
      <c r="D30" s="587">
        <f t="shared" si="4"/>
        <v>0</v>
      </c>
      <c r="E30" s="587"/>
      <c r="F30" s="588">
        <f t="shared" si="5"/>
        <v>4.0949999999999997E-3</v>
      </c>
      <c r="G30" s="563">
        <f t="shared" si="0"/>
        <v>3</v>
      </c>
      <c r="H30" s="587">
        <f t="shared" si="1"/>
        <v>0</v>
      </c>
      <c r="I30" s="587"/>
      <c r="J30" s="587"/>
      <c r="K30" s="587">
        <f t="shared" si="2"/>
        <v>0</v>
      </c>
    </row>
    <row r="31" spans="1:11" ht="15.75">
      <c r="A31" s="563" t="s">
        <v>560</v>
      </c>
      <c r="B31" s="563" t="str">
        <f t="shared" si="3"/>
        <v>Year 2018</v>
      </c>
      <c r="C31" s="563"/>
      <c r="D31" s="587">
        <f t="shared" si="4"/>
        <v>0</v>
      </c>
      <c r="E31" s="587"/>
      <c r="F31" s="588">
        <f t="shared" si="5"/>
        <v>4.0949999999999997E-3</v>
      </c>
      <c r="G31" s="563">
        <f t="shared" si="0"/>
        <v>2</v>
      </c>
      <c r="H31" s="587">
        <f t="shared" si="1"/>
        <v>0</v>
      </c>
      <c r="I31" s="587"/>
      <c r="J31" s="587"/>
      <c r="K31" s="587">
        <f t="shared" si="2"/>
        <v>0</v>
      </c>
    </row>
    <row r="32" spans="1:11" ht="15.75">
      <c r="A32" s="563" t="s">
        <v>191</v>
      </c>
      <c r="B32" s="563" t="str">
        <f t="shared" si="3"/>
        <v>Year 2018</v>
      </c>
      <c r="C32" s="563"/>
      <c r="D32" s="587">
        <f t="shared" si="4"/>
        <v>0</v>
      </c>
      <c r="E32" s="587"/>
      <c r="F32" s="588">
        <f t="shared" si="5"/>
        <v>4.0949999999999997E-3</v>
      </c>
      <c r="G32" s="563">
        <f t="shared" si="0"/>
        <v>1</v>
      </c>
      <c r="H32" s="589">
        <f t="shared" si="1"/>
        <v>0</v>
      </c>
      <c r="I32" s="587"/>
      <c r="J32" s="587"/>
      <c r="K32" s="587">
        <f t="shared" si="2"/>
        <v>0</v>
      </c>
    </row>
    <row r="33" spans="1:11" ht="15.75">
      <c r="A33" s="563"/>
      <c r="B33" s="563"/>
      <c r="C33" s="563"/>
      <c r="D33" s="587"/>
      <c r="E33" s="587"/>
      <c r="F33" s="588"/>
      <c r="G33" s="563"/>
      <c r="H33" s="587">
        <f>SUM(H21:H32)</f>
        <v>0</v>
      </c>
      <c r="I33" s="587"/>
      <c r="J33" s="587"/>
      <c r="K33" s="590">
        <f>SUM(K21:K32)</f>
        <v>0</v>
      </c>
    </row>
    <row r="34" spans="1:11" ht="15.75">
      <c r="A34" s="563"/>
      <c r="B34" s="563"/>
      <c r="C34" s="563"/>
      <c r="D34" s="587"/>
      <c r="E34" s="587"/>
      <c r="F34" s="588"/>
      <c r="G34" s="563"/>
      <c r="H34" s="587"/>
      <c r="I34" s="587" t="s">
        <v>114</v>
      </c>
      <c r="J34" s="587"/>
      <c r="K34" s="11"/>
    </row>
    <row r="35" spans="1:11" ht="15.75">
      <c r="A35" s="563"/>
      <c r="B35" s="563"/>
      <c r="C35" s="563"/>
      <c r="D35" s="573"/>
      <c r="E35" s="573"/>
      <c r="F35" s="588"/>
      <c r="G35" s="563"/>
      <c r="H35" s="591" t="s">
        <v>561</v>
      </c>
      <c r="I35" s="587"/>
      <c r="J35" s="587"/>
      <c r="K35" s="587"/>
    </row>
    <row r="36" spans="1:11" ht="15.75">
      <c r="A36" s="563" t="s">
        <v>562</v>
      </c>
      <c r="B36" s="563" t="str">
        <f>"Year 2019"</f>
        <v>Year 2019</v>
      </c>
      <c r="C36" s="563"/>
      <c r="D36" s="573">
        <f>K33</f>
        <v>0</v>
      </c>
      <c r="E36" s="573"/>
      <c r="F36" s="588">
        <f>+F32</f>
        <v>4.0949999999999997E-3</v>
      </c>
      <c r="G36" s="563">
        <v>12</v>
      </c>
      <c r="H36" s="587">
        <f>+G36*F36*D36</f>
        <v>0</v>
      </c>
      <c r="I36" s="587"/>
      <c r="J36" s="587"/>
      <c r="K36" s="590">
        <f>+D36+H36</f>
        <v>0</v>
      </c>
    </row>
    <row r="37" spans="1:11" ht="15.75">
      <c r="A37" s="563"/>
      <c r="B37" s="563"/>
      <c r="C37" s="563"/>
      <c r="D37" s="573"/>
      <c r="E37" s="573"/>
      <c r="F37" s="588"/>
      <c r="G37" s="563"/>
      <c r="H37" s="587"/>
      <c r="I37" s="587"/>
      <c r="J37" s="587"/>
      <c r="K37" s="587"/>
    </row>
    <row r="38" spans="1:11" ht="15.75">
      <c r="A38" s="592" t="s">
        <v>563</v>
      </c>
      <c r="B38" s="563"/>
      <c r="C38" s="563"/>
      <c r="D38" s="587"/>
      <c r="E38" s="587"/>
      <c r="F38" s="588"/>
      <c r="G38" s="563"/>
      <c r="H38" s="591" t="s">
        <v>557</v>
      </c>
      <c r="I38" s="587"/>
      <c r="J38" s="587"/>
      <c r="K38" s="587"/>
    </row>
    <row r="39" spans="1:11" ht="15.75">
      <c r="A39" s="563" t="s">
        <v>185</v>
      </c>
      <c r="B39" s="563" t="str">
        <f>"Year 2020"</f>
        <v>Year 2020</v>
      </c>
      <c r="C39" s="563"/>
      <c r="D39" s="593">
        <f>-K36</f>
        <v>0</v>
      </c>
      <c r="E39" s="573"/>
      <c r="F39" s="588">
        <f>+F32</f>
        <v>4.0949999999999997E-3</v>
      </c>
      <c r="G39" s="563"/>
      <c r="H39" s="587">
        <f xml:space="preserve"> -F39*D39</f>
        <v>0</v>
      </c>
      <c r="I39" s="587">
        <f>PMT(F39,12,K$36)</f>
        <v>0</v>
      </c>
      <c r="J39" s="587"/>
      <c r="K39" s="587">
        <f>(+D39+D39*F39-I39)*-1</f>
        <v>0</v>
      </c>
    </row>
    <row r="40" spans="1:11" ht="15.75">
      <c r="A40" s="563" t="s">
        <v>558</v>
      </c>
      <c r="B40" s="563" t="str">
        <f>+B39</f>
        <v>Year 2020</v>
      </c>
      <c r="C40" s="563"/>
      <c r="D40" s="573">
        <f>-K39</f>
        <v>0</v>
      </c>
      <c r="E40" s="573"/>
      <c r="F40" s="588">
        <f>+F39</f>
        <v>4.0949999999999997E-3</v>
      </c>
      <c r="G40" s="563"/>
      <c r="H40" s="587">
        <f xml:space="preserve"> -F40*D40</f>
        <v>0</v>
      </c>
      <c r="I40" s="587">
        <f>I39</f>
        <v>0</v>
      </c>
      <c r="J40" s="587"/>
      <c r="K40" s="587">
        <f t="shared" ref="K40:K50" si="6">(+D40+D40*F40-I40)*-1</f>
        <v>0</v>
      </c>
    </row>
    <row r="41" spans="1:11" ht="15.75">
      <c r="A41" s="563" t="s">
        <v>186</v>
      </c>
      <c r="B41" s="563" t="str">
        <f>+B40</f>
        <v>Year 2020</v>
      </c>
      <c r="C41" s="563"/>
      <c r="D41" s="573">
        <f t="shared" ref="D41:D50" si="7">-K40</f>
        <v>0</v>
      </c>
      <c r="E41" s="573"/>
      <c r="F41" s="588">
        <f t="shared" ref="F41:F50" si="8">+F40</f>
        <v>4.0949999999999997E-3</v>
      </c>
      <c r="G41" s="563"/>
      <c r="H41" s="587">
        <f t="shared" ref="H41:H50" si="9" xml:space="preserve"> -F41*D41</f>
        <v>0</v>
      </c>
      <c r="I41" s="587">
        <f t="shared" ref="I41:I50" si="10">I40</f>
        <v>0</v>
      </c>
      <c r="J41" s="587"/>
      <c r="K41" s="587">
        <f t="shared" si="6"/>
        <v>0</v>
      </c>
    </row>
    <row r="42" spans="1:11" ht="15.75">
      <c r="A42" s="563" t="s">
        <v>187</v>
      </c>
      <c r="B42" s="563" t="str">
        <f>+B41</f>
        <v>Year 2020</v>
      </c>
      <c r="C42" s="563"/>
      <c r="D42" s="573">
        <f t="shared" si="7"/>
        <v>0</v>
      </c>
      <c r="E42" s="573"/>
      <c r="F42" s="588">
        <f t="shared" si="8"/>
        <v>4.0949999999999997E-3</v>
      </c>
      <c r="G42" s="563"/>
      <c r="H42" s="587">
        <f t="shared" si="9"/>
        <v>0</v>
      </c>
      <c r="I42" s="587">
        <f t="shared" si="10"/>
        <v>0</v>
      </c>
      <c r="J42" s="587"/>
      <c r="K42" s="587">
        <f t="shared" si="6"/>
        <v>0</v>
      </c>
    </row>
    <row r="43" spans="1:11" ht="15.75">
      <c r="A43" s="563" t="s">
        <v>188</v>
      </c>
      <c r="B43" s="563" t="str">
        <f>+B42</f>
        <v>Year 2020</v>
      </c>
      <c r="C43" s="563"/>
      <c r="D43" s="573">
        <f t="shared" si="7"/>
        <v>0</v>
      </c>
      <c r="E43" s="573"/>
      <c r="F43" s="588">
        <f t="shared" si="8"/>
        <v>4.0949999999999997E-3</v>
      </c>
      <c r="G43" s="563"/>
      <c r="H43" s="587">
        <f t="shared" si="9"/>
        <v>0</v>
      </c>
      <c r="I43" s="587">
        <f>I42</f>
        <v>0</v>
      </c>
      <c r="J43" s="587"/>
      <c r="K43" s="587">
        <f t="shared" si="6"/>
        <v>0</v>
      </c>
    </row>
    <row r="44" spans="1:11" ht="15.75">
      <c r="A44" s="563" t="s">
        <v>382</v>
      </c>
      <c r="B44" s="563" t="str">
        <f>B43</f>
        <v>Year 2020</v>
      </c>
      <c r="C44" s="11"/>
      <c r="D44" s="573">
        <f t="shared" si="7"/>
        <v>0</v>
      </c>
      <c r="E44" s="573"/>
      <c r="F44" s="588">
        <f t="shared" si="8"/>
        <v>4.0949999999999997E-3</v>
      </c>
      <c r="G44" s="563"/>
      <c r="H44" s="587">
        <f t="shared" si="9"/>
        <v>0</v>
      </c>
      <c r="I44" s="587">
        <f t="shared" si="10"/>
        <v>0</v>
      </c>
      <c r="J44" s="587"/>
      <c r="K44" s="587">
        <f t="shared" si="6"/>
        <v>0</v>
      </c>
    </row>
    <row r="45" spans="1:11" ht="15.75">
      <c r="A45" s="563" t="s">
        <v>189</v>
      </c>
      <c r="B45" s="563" t="str">
        <f t="shared" ref="B45:B50" si="11">+B44</f>
        <v>Year 2020</v>
      </c>
      <c r="C45" s="563"/>
      <c r="D45" s="573">
        <f t="shared" si="7"/>
        <v>0</v>
      </c>
      <c r="E45" s="573"/>
      <c r="F45" s="588">
        <f t="shared" si="8"/>
        <v>4.0949999999999997E-3</v>
      </c>
      <c r="G45" s="563"/>
      <c r="H45" s="587">
        <f t="shared" si="9"/>
        <v>0</v>
      </c>
      <c r="I45" s="587">
        <f t="shared" si="10"/>
        <v>0</v>
      </c>
      <c r="J45" s="587"/>
      <c r="K45" s="587">
        <f t="shared" si="6"/>
        <v>0</v>
      </c>
    </row>
    <row r="46" spans="1:11" ht="15.75">
      <c r="A46" s="563" t="s">
        <v>190</v>
      </c>
      <c r="B46" s="563" t="str">
        <f t="shared" si="11"/>
        <v>Year 2020</v>
      </c>
      <c r="C46" s="563"/>
      <c r="D46" s="573">
        <f t="shared" si="7"/>
        <v>0</v>
      </c>
      <c r="E46" s="573"/>
      <c r="F46" s="588">
        <f t="shared" si="8"/>
        <v>4.0949999999999997E-3</v>
      </c>
      <c r="G46" s="563"/>
      <c r="H46" s="587">
        <f t="shared" si="9"/>
        <v>0</v>
      </c>
      <c r="I46" s="587">
        <f t="shared" si="10"/>
        <v>0</v>
      </c>
      <c r="J46" s="587"/>
      <c r="K46" s="587">
        <f t="shared" si="6"/>
        <v>0</v>
      </c>
    </row>
    <row r="47" spans="1:11" ht="15.75">
      <c r="A47" s="563" t="s">
        <v>192</v>
      </c>
      <c r="B47" s="563" t="str">
        <f t="shared" si="11"/>
        <v>Year 2020</v>
      </c>
      <c r="C47" s="563"/>
      <c r="D47" s="573">
        <f t="shared" si="7"/>
        <v>0</v>
      </c>
      <c r="E47" s="573"/>
      <c r="F47" s="588">
        <f t="shared" si="8"/>
        <v>4.0949999999999997E-3</v>
      </c>
      <c r="G47" s="563"/>
      <c r="H47" s="587">
        <f t="shared" si="9"/>
        <v>0</v>
      </c>
      <c r="I47" s="587">
        <f>I46</f>
        <v>0</v>
      </c>
      <c r="J47" s="587"/>
      <c r="K47" s="587">
        <f t="shared" si="6"/>
        <v>0</v>
      </c>
    </row>
    <row r="48" spans="1:11" ht="15.75">
      <c r="A48" s="563" t="s">
        <v>559</v>
      </c>
      <c r="B48" s="563" t="str">
        <f t="shared" si="11"/>
        <v>Year 2020</v>
      </c>
      <c r="C48" s="563"/>
      <c r="D48" s="573">
        <f t="shared" si="7"/>
        <v>0</v>
      </c>
      <c r="E48" s="573"/>
      <c r="F48" s="588">
        <f t="shared" si="8"/>
        <v>4.0949999999999997E-3</v>
      </c>
      <c r="G48" s="563"/>
      <c r="H48" s="587">
        <f t="shared" si="9"/>
        <v>0</v>
      </c>
      <c r="I48" s="587">
        <f t="shared" si="10"/>
        <v>0</v>
      </c>
      <c r="J48" s="587"/>
      <c r="K48" s="587">
        <f t="shared" si="6"/>
        <v>0</v>
      </c>
    </row>
    <row r="49" spans="1:11" ht="15.75">
      <c r="A49" s="563" t="s">
        <v>560</v>
      </c>
      <c r="B49" s="563" t="str">
        <f t="shared" si="11"/>
        <v>Year 2020</v>
      </c>
      <c r="C49" s="563"/>
      <c r="D49" s="573">
        <f t="shared" si="7"/>
        <v>0</v>
      </c>
      <c r="E49" s="573"/>
      <c r="F49" s="588">
        <f t="shared" si="8"/>
        <v>4.0949999999999997E-3</v>
      </c>
      <c r="G49" s="563"/>
      <c r="H49" s="587">
        <f t="shared" si="9"/>
        <v>0</v>
      </c>
      <c r="I49" s="587">
        <f t="shared" si="10"/>
        <v>0</v>
      </c>
      <c r="J49" s="587"/>
      <c r="K49" s="587">
        <f t="shared" si="6"/>
        <v>0</v>
      </c>
    </row>
    <row r="50" spans="1:11" ht="15.75">
      <c r="A50" s="563" t="s">
        <v>191</v>
      </c>
      <c r="B50" s="563" t="str">
        <f t="shared" si="11"/>
        <v>Year 2020</v>
      </c>
      <c r="C50" s="563"/>
      <c r="D50" s="573">
        <f t="shared" si="7"/>
        <v>0</v>
      </c>
      <c r="E50" s="573"/>
      <c r="F50" s="588">
        <f t="shared" si="8"/>
        <v>4.0949999999999997E-3</v>
      </c>
      <c r="G50" s="563"/>
      <c r="H50" s="589">
        <f t="shared" si="9"/>
        <v>0</v>
      </c>
      <c r="I50" s="587">
        <f t="shared" si="10"/>
        <v>0</v>
      </c>
      <c r="J50" s="587"/>
      <c r="K50" s="587">
        <f t="shared" si="6"/>
        <v>0</v>
      </c>
    </row>
    <row r="51" spans="1:11" ht="15.75">
      <c r="A51" s="563"/>
      <c r="B51" s="563"/>
      <c r="C51" s="563"/>
      <c r="D51" s="573"/>
      <c r="E51" s="573"/>
      <c r="F51" s="588"/>
      <c r="G51" s="563"/>
      <c r="H51" s="587">
        <f>SUM(H39:H50)</f>
        <v>0</v>
      </c>
      <c r="I51" s="587"/>
      <c r="J51" s="587"/>
      <c r="K51" s="587"/>
    </row>
    <row r="52" spans="1:11" ht="15">
      <c r="A52" s="11"/>
      <c r="B52" s="11"/>
      <c r="C52" s="11"/>
      <c r="D52" s="11"/>
      <c r="E52" s="11"/>
      <c r="F52" s="11"/>
      <c r="G52" s="11"/>
      <c r="H52" s="11"/>
      <c r="I52" s="594"/>
      <c r="J52" s="11"/>
      <c r="K52" s="11"/>
    </row>
    <row r="53" spans="1:11" ht="15.75">
      <c r="A53" s="563" t="s">
        <v>568</v>
      </c>
      <c r="B53" s="11"/>
      <c r="C53" s="11"/>
      <c r="D53" s="11"/>
      <c r="E53" s="11"/>
      <c r="F53" s="11"/>
      <c r="G53" s="11"/>
      <c r="H53" s="11"/>
      <c r="I53" s="595">
        <f>(SUM(I39:I50)*-1)</f>
        <v>0</v>
      </c>
      <c r="J53" s="11"/>
      <c r="K53" s="11"/>
    </row>
    <row r="54" spans="1:11" ht="15.75">
      <c r="A54" s="563" t="s">
        <v>564</v>
      </c>
      <c r="B54" s="11"/>
      <c r="C54" s="11"/>
      <c r="D54" s="11"/>
      <c r="E54" s="11"/>
      <c r="F54" s="11"/>
      <c r="G54" s="11"/>
      <c r="H54" s="11"/>
      <c r="I54" s="596">
        <f>+H10</f>
        <v>0</v>
      </c>
      <c r="J54" s="11"/>
      <c r="K54" s="11"/>
    </row>
    <row r="55" spans="1:11" ht="15.75">
      <c r="A55" s="563" t="s">
        <v>565</v>
      </c>
      <c r="B55" s="11"/>
      <c r="C55" s="11"/>
      <c r="D55" s="11"/>
      <c r="E55" s="11"/>
      <c r="F55" s="11"/>
      <c r="G55" s="11"/>
      <c r="H55" s="11"/>
      <c r="I55" s="595">
        <f>(I53+I54)</f>
        <v>0</v>
      </c>
      <c r="J55" s="11"/>
      <c r="K55" s="11"/>
    </row>
    <row r="57" spans="1:11" ht="81.75" customHeight="1">
      <c r="A57" s="1350" t="s">
        <v>569</v>
      </c>
      <c r="B57" s="1350"/>
      <c r="C57" s="1350"/>
      <c r="D57" s="1350"/>
      <c r="E57" s="597"/>
      <c r="F57" s="597"/>
      <c r="G57" s="597"/>
      <c r="H57" s="597"/>
      <c r="I57" s="597"/>
      <c r="J57" s="597"/>
      <c r="K57" s="597"/>
    </row>
  </sheetData>
  <mergeCells count="5">
    <mergeCell ref="A1:K1"/>
    <mergeCell ref="A2:K2"/>
    <mergeCell ref="A3:K3"/>
    <mergeCell ref="D4:G4"/>
    <mergeCell ref="A57:D57"/>
  </mergeCells>
  <pageMargins left="0.7" right="0.7" top="0.75" bottom="0.75" header="0.3" footer="0.3"/>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30"/>
  <sheetViews>
    <sheetView tabSelected="1" view="pageBreakPreview" topLeftCell="A3" zoomScale="85" zoomScaleNormal="50" zoomScaleSheetLayoutView="85" workbookViewId="0">
      <selection activeCell="D3" sqref="D3"/>
    </sheetView>
  </sheetViews>
  <sheetFormatPr defaultRowHeight="12.75"/>
  <cols>
    <col min="1" max="1" width="7.5703125" style="1" bestFit="1" customWidth="1"/>
    <col min="2" max="2" width="57.5703125" bestFit="1" customWidth="1"/>
    <col min="3" max="4" width="14.85546875" customWidth="1"/>
    <col min="5" max="6" width="14.42578125" customWidth="1"/>
    <col min="7" max="7" width="15.42578125" bestFit="1" customWidth="1"/>
    <col min="8" max="8" width="3.5703125" customWidth="1"/>
    <col min="9" max="9" width="13.140625" bestFit="1" customWidth="1"/>
    <col min="10" max="10" width="15" bestFit="1" customWidth="1"/>
    <col min="11" max="11" width="13.5703125" bestFit="1" customWidth="1"/>
    <col min="12" max="12" width="3.5703125" customWidth="1"/>
    <col min="13" max="13" width="13.140625" bestFit="1" customWidth="1"/>
    <col min="14" max="14" width="15" bestFit="1" customWidth="1"/>
    <col min="15" max="15" width="13.5703125" bestFit="1" customWidth="1"/>
    <col min="16" max="16" width="3" customWidth="1"/>
    <col min="17" max="17" width="13.140625" bestFit="1" customWidth="1"/>
    <col min="18" max="18" width="15" bestFit="1" customWidth="1"/>
    <col min="19" max="19" width="13.5703125" bestFit="1" customWidth="1"/>
  </cols>
  <sheetData>
    <row r="1" spans="1:19">
      <c r="A1" s="773"/>
      <c r="B1" s="816" t="str">
        <f>TCOS!F9</f>
        <v>WHEELING POWER COMPANY</v>
      </c>
      <c r="C1" s="760"/>
      <c r="D1" s="760"/>
      <c r="E1" s="760"/>
      <c r="F1" s="760"/>
      <c r="M1" s="760"/>
      <c r="N1" s="760"/>
      <c r="O1" s="760"/>
      <c r="P1" s="760"/>
      <c r="Q1" s="760"/>
      <c r="R1" s="760"/>
    </row>
    <row r="2" spans="1:19">
      <c r="A2" s="773"/>
      <c r="B2" s="158" t="s">
        <v>811</v>
      </c>
      <c r="C2" s="760"/>
      <c r="D2" s="760"/>
      <c r="E2" s="760"/>
      <c r="F2" s="760"/>
      <c r="M2" s="760"/>
      <c r="N2" s="760"/>
      <c r="O2" s="760"/>
      <c r="P2" s="760"/>
      <c r="Q2" s="760"/>
      <c r="R2" s="760"/>
    </row>
    <row r="3" spans="1:19">
      <c r="A3" s="773"/>
      <c r="B3" s="785" t="str">
        <f>"PERIOD ENDED DECEMBER 31, "&amp;TCOS!L4</f>
        <v>PERIOD ENDED DECEMBER 31, 2025</v>
      </c>
      <c r="C3" s="760"/>
      <c r="D3" s="760"/>
      <c r="E3" s="760"/>
      <c r="F3" s="760"/>
      <c r="G3" s="760"/>
      <c r="H3" s="760"/>
      <c r="I3" s="760"/>
      <c r="J3" s="760"/>
      <c r="K3" s="760"/>
      <c r="L3" s="760"/>
      <c r="M3" s="760"/>
      <c r="N3" s="760"/>
      <c r="O3" s="760"/>
      <c r="P3" s="760"/>
      <c r="Q3" s="760"/>
      <c r="R3" s="760"/>
      <c r="S3" s="760"/>
    </row>
    <row r="4" spans="1:19">
      <c r="A4" s="773"/>
      <c r="B4" s="760"/>
      <c r="C4" s="760"/>
      <c r="D4" s="760"/>
      <c r="E4" s="760"/>
      <c r="F4" s="760"/>
      <c r="G4" s="1" t="s">
        <v>690</v>
      </c>
      <c r="H4" s="1"/>
      <c r="I4" s="1"/>
      <c r="J4" s="1"/>
      <c r="K4" s="1"/>
      <c r="L4" s="1"/>
      <c r="M4" s="760"/>
      <c r="N4" s="760"/>
      <c r="O4" s="760"/>
      <c r="P4" s="760"/>
      <c r="Q4" s="760"/>
      <c r="R4" s="760"/>
      <c r="S4" s="760"/>
    </row>
    <row r="5" spans="1:19">
      <c r="A5" s="773"/>
      <c r="B5" s="760"/>
      <c r="C5" s="760"/>
      <c r="D5" s="760"/>
      <c r="E5" s="760"/>
      <c r="F5" s="760"/>
      <c r="G5" s="760"/>
      <c r="H5" s="760"/>
      <c r="I5" s="760"/>
      <c r="J5" s="760"/>
      <c r="K5" s="760"/>
      <c r="L5" s="760"/>
      <c r="M5" s="760"/>
      <c r="N5" s="760"/>
      <c r="O5" s="760"/>
      <c r="P5" s="760"/>
      <c r="Q5" s="760"/>
      <c r="R5" s="760"/>
      <c r="S5" s="760"/>
    </row>
    <row r="6" spans="1:19">
      <c r="A6" s="773"/>
      <c r="B6" s="760"/>
      <c r="C6" s="760"/>
      <c r="D6" s="760"/>
      <c r="E6" s="760"/>
      <c r="F6" s="760"/>
      <c r="G6" s="760"/>
      <c r="H6" s="760"/>
      <c r="I6" s="760"/>
      <c r="J6" s="760"/>
      <c r="K6" s="760"/>
      <c r="L6" s="760"/>
      <c r="M6" s="760"/>
      <c r="N6" s="760"/>
      <c r="O6" s="760"/>
      <c r="P6" s="760"/>
      <c r="Q6" s="760"/>
      <c r="R6" s="760"/>
      <c r="S6" s="760"/>
    </row>
    <row r="7" spans="1:19">
      <c r="A7" s="773"/>
      <c r="B7" s="760"/>
      <c r="C7" s="760"/>
      <c r="D7" s="760"/>
      <c r="E7" s="760"/>
      <c r="F7" s="760"/>
      <c r="G7" s="760"/>
      <c r="H7" s="760"/>
      <c r="I7" s="760"/>
      <c r="J7" s="760"/>
      <c r="K7" s="760"/>
      <c r="L7" s="760"/>
      <c r="M7" s="760"/>
      <c r="N7" s="760"/>
      <c r="O7" s="760"/>
      <c r="P7" s="760"/>
      <c r="Q7" s="760"/>
      <c r="R7" s="760"/>
      <c r="S7" s="760"/>
    </row>
    <row r="8" spans="1:19">
      <c r="A8" s="773"/>
      <c r="B8" s="761" t="s">
        <v>691</v>
      </c>
      <c r="C8" s="761" t="s">
        <v>692</v>
      </c>
      <c r="D8" s="761" t="s">
        <v>693</v>
      </c>
      <c r="E8" s="761" t="s">
        <v>694</v>
      </c>
      <c r="F8" s="761" t="s">
        <v>695</v>
      </c>
      <c r="G8" s="761" t="s">
        <v>696</v>
      </c>
      <c r="H8" s="761"/>
      <c r="I8" s="761" t="s">
        <v>697</v>
      </c>
      <c r="J8" s="761" t="s">
        <v>698</v>
      </c>
      <c r="K8" s="761" t="s">
        <v>699</v>
      </c>
      <c r="L8" s="761"/>
      <c r="M8" s="761" t="s">
        <v>700</v>
      </c>
      <c r="N8" s="761" t="s">
        <v>701</v>
      </c>
      <c r="O8" s="761" t="s">
        <v>702</v>
      </c>
      <c r="P8" s="760"/>
      <c r="Q8" s="761" t="s">
        <v>703</v>
      </c>
      <c r="R8" s="761" t="s">
        <v>704</v>
      </c>
      <c r="S8" s="761" t="s">
        <v>705</v>
      </c>
    </row>
    <row r="9" spans="1:19">
      <c r="A9" s="773"/>
      <c r="B9" s="760"/>
      <c r="C9" s="760"/>
      <c r="D9" s="760"/>
      <c r="E9" s="760"/>
      <c r="F9" s="760"/>
      <c r="G9" s="760"/>
      <c r="H9" s="760"/>
      <c r="I9" s="760"/>
      <c r="J9" s="760"/>
      <c r="K9" s="760"/>
      <c r="L9" s="760"/>
      <c r="M9" s="760"/>
      <c r="N9" s="760"/>
      <c r="O9" s="760"/>
      <c r="P9" s="760"/>
      <c r="Q9" s="760"/>
      <c r="R9" s="760"/>
      <c r="S9" s="760"/>
    </row>
    <row r="10" spans="1:19">
      <c r="A10" s="773"/>
      <c r="B10" s="760"/>
      <c r="C10" s="762" t="s">
        <v>706</v>
      </c>
      <c r="D10" s="762"/>
      <c r="E10" s="763" t="s">
        <v>707</v>
      </c>
      <c r="F10" s="762"/>
      <c r="G10" s="1" t="s">
        <v>708</v>
      </c>
      <c r="H10" s="1"/>
      <c r="I10" s="762" t="s">
        <v>709</v>
      </c>
      <c r="J10" s="762"/>
      <c r="K10" s="762"/>
      <c r="L10" s="1"/>
      <c r="M10" s="762" t="str">
        <f>"FUNCTIONALIZATION 12/31/"&amp;TCOS!L4-1</f>
        <v>FUNCTIONALIZATION 12/31/2024</v>
      </c>
      <c r="N10" s="762"/>
      <c r="O10" s="762"/>
      <c r="P10" s="760"/>
      <c r="Q10" s="762" t="str">
        <f>"FUNCTIONALIZATION 12/31/"&amp;TCOS!L4</f>
        <v>FUNCTIONALIZATION 12/31/2025</v>
      </c>
      <c r="R10" s="762"/>
      <c r="S10" s="762"/>
    </row>
    <row r="11" spans="1:19">
      <c r="A11" s="773"/>
      <c r="B11" s="760"/>
      <c r="C11" s="765"/>
      <c r="D11" s="765"/>
      <c r="E11" s="760"/>
      <c r="F11" s="760"/>
      <c r="G11" s="1" t="s">
        <v>710</v>
      </c>
      <c r="H11" s="1"/>
      <c r="I11" s="765"/>
      <c r="J11" s="765"/>
      <c r="K11" s="765"/>
      <c r="L11" s="1"/>
      <c r="M11" s="765"/>
      <c r="N11" s="765"/>
      <c r="O11" s="765"/>
      <c r="P11" s="760"/>
      <c r="Q11" s="765"/>
      <c r="R11" s="765"/>
      <c r="S11" s="765"/>
    </row>
    <row r="12" spans="1:19">
      <c r="A12" s="773"/>
      <c r="B12" s="760"/>
      <c r="C12" s="1" t="s">
        <v>711</v>
      </c>
      <c r="D12" s="1" t="s">
        <v>711</v>
      </c>
      <c r="E12" s="1" t="s">
        <v>711</v>
      </c>
      <c r="F12" s="1" t="s">
        <v>711</v>
      </c>
      <c r="G12" s="1" t="s">
        <v>712</v>
      </c>
      <c r="H12" s="1"/>
      <c r="I12" s="760"/>
      <c r="J12" s="760"/>
      <c r="K12" s="760"/>
      <c r="L12" s="1"/>
      <c r="M12" s="760"/>
      <c r="N12" s="760"/>
      <c r="O12" s="760"/>
      <c r="P12" s="760"/>
      <c r="Q12" s="760"/>
      <c r="R12" s="760"/>
      <c r="S12" s="760"/>
    </row>
    <row r="13" spans="1:19">
      <c r="A13" s="773"/>
      <c r="B13" s="761" t="s">
        <v>713</v>
      </c>
      <c r="C13" s="761" t="str">
        <f>"OF 12-31-"&amp;TCOS!L4-1</f>
        <v>OF 12-31-2024</v>
      </c>
      <c r="D13" s="761" t="str">
        <f>"OF 12-31-"&amp;TCOS!L4</f>
        <v>OF 12-31-2025</v>
      </c>
      <c r="E13" s="761" t="str">
        <f>"OF 12-31-"&amp;TCOS!L4-1</f>
        <v>OF 12-31-2024</v>
      </c>
      <c r="F13" s="761" t="str">
        <f>"OF 12-31-"&amp;TCOS!L4</f>
        <v>OF 12-31-2025</v>
      </c>
      <c r="G13" s="761" t="s">
        <v>714</v>
      </c>
      <c r="H13" s="761"/>
      <c r="I13" s="761" t="s">
        <v>715</v>
      </c>
      <c r="J13" s="761" t="s">
        <v>716</v>
      </c>
      <c r="K13" s="761" t="s">
        <v>717</v>
      </c>
      <c r="L13" s="761"/>
      <c r="M13" s="761" t="s">
        <v>715</v>
      </c>
      <c r="N13" s="761" t="s">
        <v>716</v>
      </c>
      <c r="O13" s="761" t="s">
        <v>717</v>
      </c>
      <c r="P13" s="760"/>
      <c r="Q13" s="761" t="s">
        <v>715</v>
      </c>
      <c r="R13" s="761" t="s">
        <v>716</v>
      </c>
      <c r="S13" s="761" t="s">
        <v>717</v>
      </c>
    </row>
    <row r="14" spans="1:19">
      <c r="A14" s="773"/>
      <c r="B14" s="760"/>
      <c r="C14" s="760"/>
      <c r="D14" s="760"/>
      <c r="E14" s="760"/>
      <c r="F14" s="760"/>
      <c r="G14" s="760"/>
      <c r="H14" s="760"/>
      <c r="I14" s="760"/>
      <c r="J14" s="760"/>
      <c r="K14" s="760"/>
      <c r="L14" s="760"/>
      <c r="M14" s="760"/>
      <c r="N14" s="760"/>
      <c r="O14" s="760"/>
      <c r="P14" s="760"/>
      <c r="Q14" s="760"/>
      <c r="R14" s="760"/>
      <c r="S14" s="760"/>
    </row>
    <row r="15" spans="1:19">
      <c r="A15" s="784">
        <v>1</v>
      </c>
      <c r="B15" s="608" t="s">
        <v>718</v>
      </c>
      <c r="C15" s="767"/>
      <c r="D15" s="767"/>
      <c r="E15" s="767"/>
      <c r="F15" s="768"/>
      <c r="G15" s="767"/>
      <c r="H15" s="767"/>
      <c r="I15" s="767"/>
      <c r="J15" s="767"/>
      <c r="K15" s="767"/>
      <c r="L15" s="767"/>
      <c r="M15" s="767"/>
      <c r="N15" s="767"/>
      <c r="O15" s="767"/>
      <c r="P15" s="767"/>
      <c r="Q15" s="767"/>
      <c r="R15" s="767"/>
      <c r="S15" s="767"/>
    </row>
    <row r="16" spans="1:19">
      <c r="A16" s="784">
        <v>2.0099999999999998</v>
      </c>
      <c r="B16" s="608"/>
      <c r="C16" s="767"/>
      <c r="D16" s="767"/>
      <c r="E16" s="767"/>
      <c r="F16" s="767"/>
      <c r="G16" s="767"/>
      <c r="H16" s="767"/>
      <c r="I16" s="767"/>
      <c r="J16" s="767"/>
      <c r="K16" s="767"/>
      <c r="L16" s="767"/>
      <c r="M16" s="767"/>
      <c r="N16" s="767"/>
      <c r="O16" s="767"/>
      <c r="P16" s="767"/>
      <c r="Q16" s="767"/>
      <c r="R16" s="767"/>
      <c r="S16" s="767"/>
    </row>
    <row r="17" spans="1:19">
      <c r="A17" s="784">
        <v>2.02</v>
      </c>
      <c r="B17" s="608" t="s">
        <v>910</v>
      </c>
      <c r="C17" s="767">
        <f>SUM(M17:O17)</f>
        <v>39949221.729999997</v>
      </c>
      <c r="D17" s="767">
        <f>SUM(Q17:S17)</f>
        <v>37826261.649999999</v>
      </c>
      <c r="E17" s="767"/>
      <c r="F17" s="767"/>
      <c r="G17" s="767">
        <f>ROUND(SUM(C17:F17)/2,0)</f>
        <v>38887742</v>
      </c>
      <c r="H17" s="767"/>
      <c r="I17" s="767">
        <f>(M17+Q17)/2</f>
        <v>38887741.689999998</v>
      </c>
      <c r="J17" s="767">
        <f>(N17+R17)/2</f>
        <v>0</v>
      </c>
      <c r="K17" s="767">
        <f>(O17+S17)/2</f>
        <v>0</v>
      </c>
      <c r="L17" s="767"/>
      <c r="M17" s="608">
        <v>39949221.729999997</v>
      </c>
      <c r="N17" s="608">
        <v>0</v>
      </c>
      <c r="O17" s="608">
        <v>0</v>
      </c>
      <c r="P17" s="767"/>
      <c r="Q17" s="608">
        <v>37826261.649999999</v>
      </c>
      <c r="R17" s="608">
        <v>0</v>
      </c>
      <c r="S17" s="608">
        <v>0</v>
      </c>
    </row>
    <row r="18" spans="1:19">
      <c r="A18" s="784">
        <v>2.0299999999999998</v>
      </c>
      <c r="B18" s="608"/>
      <c r="C18" s="767"/>
      <c r="D18" s="767"/>
      <c r="E18" s="767"/>
      <c r="F18" s="767"/>
      <c r="G18" s="767"/>
      <c r="H18" s="767"/>
      <c r="I18" s="767"/>
      <c r="J18" s="767"/>
      <c r="K18" s="767"/>
      <c r="L18" s="767"/>
      <c r="M18" s="767"/>
      <c r="N18" s="767"/>
      <c r="O18" s="767"/>
      <c r="P18" s="767"/>
      <c r="Q18" s="767"/>
      <c r="R18" s="767"/>
      <c r="S18" s="767"/>
    </row>
    <row r="19" spans="1:19">
      <c r="A19" s="784">
        <v>2.04</v>
      </c>
      <c r="B19" s="608" t="s">
        <v>911</v>
      </c>
      <c r="C19" s="767">
        <v>0</v>
      </c>
      <c r="D19" s="767">
        <v>0</v>
      </c>
      <c r="E19" s="767">
        <v>0</v>
      </c>
      <c r="F19" s="767">
        <v>0</v>
      </c>
      <c r="G19" s="767">
        <f>ROUND(SUM(C19:F19)/2,0)</f>
        <v>0</v>
      </c>
      <c r="H19" s="767"/>
      <c r="I19" s="767"/>
      <c r="J19" s="767"/>
      <c r="K19" s="767"/>
      <c r="L19" s="767"/>
      <c r="M19" s="767"/>
      <c r="N19" s="767"/>
      <c r="O19" s="767"/>
      <c r="P19" s="767"/>
      <c r="Q19" s="767"/>
      <c r="R19" s="767"/>
      <c r="S19" s="767"/>
    </row>
    <row r="20" spans="1:19">
      <c r="A20" s="784">
        <v>2.0499999999999998</v>
      </c>
      <c r="B20" s="608" t="s">
        <v>912</v>
      </c>
      <c r="C20" s="767">
        <v>0</v>
      </c>
      <c r="D20" s="767">
        <v>0</v>
      </c>
      <c r="E20" s="767">
        <v>0</v>
      </c>
      <c r="F20" s="767">
        <v>0</v>
      </c>
      <c r="G20" s="767">
        <f>ROUND(SUM(C20:F20)/2,0)</f>
        <v>0</v>
      </c>
      <c r="H20" s="767"/>
      <c r="I20" s="767"/>
      <c r="J20" s="767"/>
      <c r="K20" s="767"/>
      <c r="L20" s="767"/>
      <c r="M20" s="767"/>
      <c r="N20" s="767"/>
      <c r="O20" s="767"/>
      <c r="P20" s="767"/>
      <c r="Q20" s="767"/>
      <c r="R20" s="767"/>
      <c r="S20" s="767"/>
    </row>
    <row r="21" spans="1:19">
      <c r="A21" s="784">
        <v>2.06</v>
      </c>
      <c r="B21" s="608" t="s">
        <v>913</v>
      </c>
      <c r="C21" s="767">
        <f>-E21</f>
        <v>-16719553.779999999</v>
      </c>
      <c r="D21" s="767">
        <f>-F21</f>
        <v>-16099299.779999999</v>
      </c>
      <c r="E21" s="767">
        <v>16719553.779999999</v>
      </c>
      <c r="F21" s="767">
        <v>16099299.779999999</v>
      </c>
      <c r="G21" s="767">
        <f>ROUND(SUM(C21:F21)/2,0)</f>
        <v>0</v>
      </c>
      <c r="H21" s="767"/>
      <c r="I21" s="767"/>
      <c r="J21" s="767"/>
      <c r="K21" s="767"/>
      <c r="L21" s="767"/>
      <c r="M21" s="767"/>
      <c r="N21" s="767"/>
      <c r="O21" s="767"/>
      <c r="P21" s="767"/>
      <c r="Q21" s="767"/>
      <c r="R21" s="767"/>
      <c r="S21" s="767"/>
    </row>
    <row r="22" spans="1:19">
      <c r="A22" s="780"/>
      <c r="B22" s="760"/>
      <c r="C22" s="767"/>
      <c r="D22" s="767"/>
      <c r="E22" s="767"/>
      <c r="F22" s="767"/>
      <c r="G22" s="767"/>
      <c r="H22" s="767"/>
      <c r="I22" s="767"/>
      <c r="J22" s="767"/>
      <c r="K22" s="767"/>
      <c r="L22" s="767"/>
      <c r="M22" s="767"/>
      <c r="N22" s="767"/>
      <c r="O22" s="767"/>
      <c r="P22" s="767"/>
      <c r="Q22" s="767"/>
      <c r="R22" s="767"/>
      <c r="S22" s="767"/>
    </row>
    <row r="23" spans="1:19" ht="13.5" thickBot="1">
      <c r="A23" s="774">
        <v>3</v>
      </c>
      <c r="B23" t="s">
        <v>719</v>
      </c>
      <c r="C23" s="769">
        <f>SUM(C17:C22)</f>
        <v>23229667.949999996</v>
      </c>
      <c r="D23" s="769">
        <f>SUM(D17:D22)</f>
        <v>21726961.869999997</v>
      </c>
      <c r="E23" s="769">
        <f>SUM(E17:E22)</f>
        <v>16719553.779999999</v>
      </c>
      <c r="F23" s="769">
        <f>SUM(F17:F22)</f>
        <v>16099299.779999999</v>
      </c>
      <c r="G23" s="769">
        <f>SUM(G17:G22)</f>
        <v>38887742</v>
      </c>
      <c r="H23" s="767"/>
      <c r="I23" s="769">
        <f>SUM(I17:I22)</f>
        <v>38887741.689999998</v>
      </c>
      <c r="J23" s="769">
        <f>SUM(J17:J22)</f>
        <v>0</v>
      </c>
      <c r="K23" s="769">
        <f>SUM(K17:K22)</f>
        <v>0</v>
      </c>
      <c r="L23" s="767"/>
      <c r="M23" s="769">
        <f>SUM(M17:M22)</f>
        <v>39949221.729999997</v>
      </c>
      <c r="N23" s="769">
        <f>SUM(N17:N22)</f>
        <v>0</v>
      </c>
      <c r="O23" s="769">
        <f>SUM(O17:O22)</f>
        <v>0</v>
      </c>
      <c r="P23" s="767"/>
      <c r="Q23" s="769">
        <f>SUM(Q17:Q22)</f>
        <v>37826261.649999999</v>
      </c>
      <c r="R23" s="769">
        <f>SUM(R17:R22)</f>
        <v>0</v>
      </c>
      <c r="S23" s="769">
        <f>SUM(S17:S22)</f>
        <v>0</v>
      </c>
    </row>
    <row r="24" spans="1:19" ht="13.5" thickTop="1">
      <c r="A24" s="774">
        <f>A23+1</f>
        <v>4</v>
      </c>
      <c r="B24" s="18" t="s">
        <v>737</v>
      </c>
      <c r="C24" s="777">
        <v>0</v>
      </c>
      <c r="D24" s="777">
        <v>0</v>
      </c>
      <c r="E24" s="777">
        <v>0</v>
      </c>
      <c r="F24" s="777">
        <v>0</v>
      </c>
      <c r="G24" s="777">
        <v>0</v>
      </c>
      <c r="H24" s="778"/>
      <c r="I24" s="777">
        <v>0</v>
      </c>
      <c r="J24" s="777">
        <v>0</v>
      </c>
      <c r="K24" s="777">
        <v>0</v>
      </c>
      <c r="L24" s="778"/>
      <c r="M24" s="777">
        <v>0</v>
      </c>
      <c r="N24" s="777">
        <v>0</v>
      </c>
      <c r="O24" s="777">
        <v>0</v>
      </c>
      <c r="P24" s="778"/>
      <c r="Q24" s="777">
        <v>0</v>
      </c>
      <c r="R24" s="777">
        <v>0</v>
      </c>
      <c r="S24" s="777">
        <v>0</v>
      </c>
    </row>
    <row r="25" spans="1:19">
      <c r="A25" s="774"/>
      <c r="B25" s="760"/>
      <c r="C25" s="767"/>
      <c r="D25" s="767"/>
      <c r="E25" s="767"/>
      <c r="F25" s="767"/>
      <c r="G25" s="767"/>
      <c r="H25" s="767"/>
      <c r="I25" s="767"/>
      <c r="J25" s="767"/>
      <c r="K25" s="767"/>
      <c r="L25" s="767"/>
      <c r="M25" s="767"/>
      <c r="N25" s="767"/>
      <c r="O25" s="767"/>
      <c r="P25" s="767"/>
      <c r="Q25" s="767"/>
      <c r="R25" s="767"/>
      <c r="S25" s="767"/>
    </row>
    <row r="26" spans="1:19">
      <c r="A26" s="774">
        <v>5</v>
      </c>
      <c r="B26" t="s">
        <v>720</v>
      </c>
      <c r="C26" s="767"/>
      <c r="D26" s="767"/>
      <c r="E26" s="767"/>
      <c r="F26" s="767"/>
      <c r="G26" s="767"/>
      <c r="H26" s="767"/>
      <c r="I26" s="767"/>
      <c r="J26" s="767"/>
      <c r="K26" s="767"/>
      <c r="L26" s="767"/>
      <c r="M26" s="767"/>
      <c r="N26" s="767"/>
      <c r="O26" s="767"/>
      <c r="P26" s="767"/>
      <c r="Q26" s="767"/>
      <c r="R26" s="767"/>
      <c r="S26" s="767"/>
    </row>
    <row r="27" spans="1:19">
      <c r="A27" s="781"/>
      <c r="B27" s="760"/>
      <c r="C27" s="767"/>
      <c r="D27" s="767"/>
      <c r="E27" s="767"/>
      <c r="F27" s="767"/>
      <c r="G27" s="767"/>
      <c r="H27" s="767"/>
      <c r="I27" s="767"/>
      <c r="J27" s="767"/>
      <c r="K27" s="767"/>
      <c r="L27" s="767"/>
      <c r="M27" s="767"/>
      <c r="N27" s="767"/>
      <c r="O27" s="767"/>
      <c r="P27" s="767"/>
      <c r="Q27" s="767"/>
      <c r="R27" s="767"/>
      <c r="S27" s="767"/>
    </row>
    <row r="28" spans="1:19">
      <c r="A28" s="784">
        <f>5+0.01</f>
        <v>5.01</v>
      </c>
      <c r="B28" s="608" t="s">
        <v>1207</v>
      </c>
      <c r="C28" s="767">
        <f t="shared" ref="C28:C47" si="0">SUM(M28:O28)</f>
        <v>-2595921</v>
      </c>
      <c r="D28" s="767">
        <f t="shared" ref="D28:D47" si="1">SUM(Q28:S28)</f>
        <v>-2307484</v>
      </c>
      <c r="E28" s="767"/>
      <c r="F28" s="767"/>
      <c r="G28" s="767">
        <f t="shared" ref="G28:G47" si="2">ROUND(SUM(C28:F28)/2,0)</f>
        <v>-2451703</v>
      </c>
      <c r="H28" s="767"/>
      <c r="I28" s="767">
        <f t="shared" ref="I28:I47" si="3">(M28+Q28)/2</f>
        <v>-2638019.5</v>
      </c>
      <c r="J28" s="767">
        <f t="shared" ref="J28:J47" si="4">(N28+R28)/2</f>
        <v>217545</v>
      </c>
      <c r="K28" s="767">
        <f t="shared" ref="K28:K47" si="5">(O28+S28)/2</f>
        <v>-31228</v>
      </c>
      <c r="L28" s="767"/>
      <c r="M28" s="608">
        <v>-2793198</v>
      </c>
      <c r="N28" s="608">
        <v>230342</v>
      </c>
      <c r="O28" s="608">
        <v>-33065</v>
      </c>
      <c r="P28" s="767"/>
      <c r="Q28" s="608">
        <v>-2482841</v>
      </c>
      <c r="R28" s="608">
        <v>204748</v>
      </c>
      <c r="S28" s="608">
        <v>-29391</v>
      </c>
    </row>
    <row r="29" spans="1:19">
      <c r="A29" s="784">
        <f t="shared" ref="A29:A54" si="6">A28+0.01</f>
        <v>5.0199999999999996</v>
      </c>
      <c r="B29" s="608" t="s">
        <v>1208</v>
      </c>
      <c r="C29" s="767">
        <f t="shared" si="0"/>
        <v>33045286.420000002</v>
      </c>
      <c r="D29" s="767">
        <f t="shared" si="1"/>
        <v>32127363.420000002</v>
      </c>
      <c r="E29" s="767"/>
      <c r="F29" s="767"/>
      <c r="G29" s="767">
        <f t="shared" si="2"/>
        <v>32586325</v>
      </c>
      <c r="H29" s="767"/>
      <c r="I29" s="767">
        <f t="shared" si="3"/>
        <v>18330555.280000001</v>
      </c>
      <c r="J29" s="767">
        <f t="shared" si="4"/>
        <v>8930975.4100000001</v>
      </c>
      <c r="K29" s="767">
        <f t="shared" si="5"/>
        <v>5324794.2300000004</v>
      </c>
      <c r="L29" s="767"/>
      <c r="M29" s="608">
        <v>18676990.780000001</v>
      </c>
      <c r="N29" s="608">
        <v>8967617.4100000001</v>
      </c>
      <c r="O29" s="608">
        <v>5400678.2300000004</v>
      </c>
      <c r="P29" s="767"/>
      <c r="Q29" s="608">
        <v>17984119.780000001</v>
      </c>
      <c r="R29" s="608">
        <v>8894333.4100000001</v>
      </c>
      <c r="S29" s="608">
        <v>5248910.2300000004</v>
      </c>
    </row>
    <row r="30" spans="1:19">
      <c r="A30" s="784">
        <f t="shared" si="6"/>
        <v>5.0299999999999994</v>
      </c>
      <c r="B30" s="608" t="s">
        <v>1209</v>
      </c>
      <c r="C30" s="767">
        <f t="shared" si="0"/>
        <v>623961.33000000007</v>
      </c>
      <c r="D30" s="767">
        <f t="shared" si="1"/>
        <v>415971.33</v>
      </c>
      <c r="E30" s="767"/>
      <c r="F30" s="767"/>
      <c r="G30" s="767">
        <f t="shared" si="2"/>
        <v>519966</v>
      </c>
      <c r="H30" s="767"/>
      <c r="I30" s="767">
        <f t="shared" si="3"/>
        <v>0</v>
      </c>
      <c r="J30" s="767">
        <f t="shared" si="4"/>
        <v>519966.03</v>
      </c>
      <c r="K30" s="767">
        <f t="shared" si="5"/>
        <v>0.3</v>
      </c>
      <c r="L30" s="767"/>
      <c r="M30" s="608">
        <v>0</v>
      </c>
      <c r="N30" s="608">
        <v>623961.03</v>
      </c>
      <c r="O30" s="608">
        <v>0.3</v>
      </c>
      <c r="P30" s="767"/>
      <c r="Q30" s="608"/>
      <c r="R30" s="608">
        <v>415971.03</v>
      </c>
      <c r="S30" s="608">
        <v>0.3</v>
      </c>
    </row>
    <row r="31" spans="1:19">
      <c r="A31" s="784">
        <f t="shared" si="6"/>
        <v>5.0399999999999991</v>
      </c>
      <c r="B31" s="608" t="s">
        <v>1210</v>
      </c>
      <c r="C31" s="767">
        <f t="shared" si="0"/>
        <v>931829.01</v>
      </c>
      <c r="D31" s="767">
        <f t="shared" si="1"/>
        <v>1258082.68</v>
      </c>
      <c r="E31" s="767"/>
      <c r="F31" s="767"/>
      <c r="G31" s="767">
        <f t="shared" si="2"/>
        <v>1094956</v>
      </c>
      <c r="H31" s="767"/>
      <c r="I31" s="767">
        <f t="shared" si="3"/>
        <v>396708.02</v>
      </c>
      <c r="J31" s="767">
        <f t="shared" si="4"/>
        <v>295840.88500000001</v>
      </c>
      <c r="K31" s="767">
        <f t="shared" si="5"/>
        <v>402406.94</v>
      </c>
      <c r="L31" s="767"/>
      <c r="M31" s="608">
        <v>316440.11</v>
      </c>
      <c r="N31" s="608">
        <v>250195.23</v>
      </c>
      <c r="O31" s="608">
        <v>365193.67</v>
      </c>
      <c r="P31" s="767"/>
      <c r="Q31" s="608">
        <v>476975.93</v>
      </c>
      <c r="R31" s="608">
        <v>341486.54</v>
      </c>
      <c r="S31" s="608">
        <v>439620.21</v>
      </c>
    </row>
    <row r="32" spans="1:19">
      <c r="A32" s="784">
        <f t="shared" si="6"/>
        <v>5.0499999999999989</v>
      </c>
      <c r="B32" s="608" t="s">
        <v>1211</v>
      </c>
      <c r="C32" s="771">
        <f t="shared" si="0"/>
        <v>5453443.6900000004</v>
      </c>
      <c r="D32" s="771">
        <f t="shared" si="1"/>
        <v>5064449.3499999996</v>
      </c>
      <c r="E32" s="771"/>
      <c r="F32" s="771"/>
      <c r="G32" s="771">
        <f t="shared" si="2"/>
        <v>5258947</v>
      </c>
      <c r="H32" s="771"/>
      <c r="I32" s="771">
        <f t="shared" si="3"/>
        <v>5269001.25</v>
      </c>
      <c r="J32" s="771">
        <f t="shared" si="4"/>
        <v>9862.2050000000017</v>
      </c>
      <c r="K32" s="771">
        <f t="shared" si="5"/>
        <v>-19916.935000000001</v>
      </c>
      <c r="L32" s="771"/>
      <c r="M32" s="608">
        <v>5441442.1200000001</v>
      </c>
      <c r="N32" s="608">
        <v>10684.04</v>
      </c>
      <c r="O32" s="608">
        <v>1317.53</v>
      </c>
      <c r="P32" s="767"/>
      <c r="Q32" s="608">
        <v>5096560.38</v>
      </c>
      <c r="R32" s="608">
        <v>9040.3700000000008</v>
      </c>
      <c r="S32" s="608">
        <v>-41151.4</v>
      </c>
    </row>
    <row r="33" spans="1:19">
      <c r="A33" s="784">
        <f t="shared" si="6"/>
        <v>5.0599999999999987</v>
      </c>
      <c r="B33" s="608" t="s">
        <v>1212</v>
      </c>
      <c r="C33" s="767">
        <f t="shared" si="0"/>
        <v>17694782.98</v>
      </c>
      <c r="D33" s="767">
        <f t="shared" si="1"/>
        <v>17694782.98</v>
      </c>
      <c r="E33" s="767"/>
      <c r="F33" s="767"/>
      <c r="G33" s="767">
        <f t="shared" si="2"/>
        <v>17694783</v>
      </c>
      <c r="H33" s="767"/>
      <c r="I33" s="767">
        <f t="shared" si="3"/>
        <v>17694782.43</v>
      </c>
      <c r="J33" s="767">
        <f t="shared" si="4"/>
        <v>3.0700000000000003</v>
      </c>
      <c r="K33" s="767">
        <f t="shared" si="5"/>
        <v>-2.52</v>
      </c>
      <c r="L33" s="767"/>
      <c r="M33" s="608">
        <v>17694782.43</v>
      </c>
      <c r="N33" s="608">
        <v>3.0700000000000003</v>
      </c>
      <c r="O33" s="608">
        <v>-2.52</v>
      </c>
      <c r="P33" s="767"/>
      <c r="Q33" s="608">
        <v>17694782.43</v>
      </c>
      <c r="R33" s="608">
        <v>3.0700000000000003</v>
      </c>
      <c r="S33" s="608">
        <v>-2.52</v>
      </c>
    </row>
    <row r="34" spans="1:19">
      <c r="A34" s="784">
        <f t="shared" si="6"/>
        <v>5.0699999999999985</v>
      </c>
      <c r="B34" s="608" t="s">
        <v>1213</v>
      </c>
      <c r="C34" s="767">
        <f t="shared" si="0"/>
        <v>-1726935.42</v>
      </c>
      <c r="D34" s="767">
        <f t="shared" si="1"/>
        <v>-1749856.29</v>
      </c>
      <c r="E34" s="767"/>
      <c r="F34" s="767"/>
      <c r="G34" s="767">
        <f t="shared" si="2"/>
        <v>-1738396</v>
      </c>
      <c r="H34" s="767"/>
      <c r="I34" s="767">
        <f t="shared" si="3"/>
        <v>0</v>
      </c>
      <c r="J34" s="767">
        <f t="shared" si="4"/>
        <v>-739513.87</v>
      </c>
      <c r="K34" s="767">
        <f t="shared" si="5"/>
        <v>-998881.9850000001</v>
      </c>
      <c r="L34" s="767"/>
      <c r="M34" s="608">
        <v>0</v>
      </c>
      <c r="N34" s="608">
        <v>-739513.87</v>
      </c>
      <c r="O34" s="608">
        <v>-987421.55</v>
      </c>
      <c r="P34" s="767"/>
      <c r="Q34" s="608"/>
      <c r="R34" s="608">
        <v>-739513.87</v>
      </c>
      <c r="S34" s="608">
        <v>-1010342.42</v>
      </c>
    </row>
    <row r="35" spans="1:19">
      <c r="A35" s="784">
        <f t="shared" si="6"/>
        <v>5.0799999999999983</v>
      </c>
      <c r="B35" s="608" t="s">
        <v>1318</v>
      </c>
      <c r="C35" s="767">
        <f t="shared" ref="C35" si="7">SUM(M35:O35)</f>
        <v>0</v>
      </c>
      <c r="D35" s="767">
        <f t="shared" ref="D35" si="8">SUM(Q35:S35)</f>
        <v>1884378.29</v>
      </c>
      <c r="E35" s="767"/>
      <c r="F35" s="767"/>
      <c r="G35" s="767">
        <f t="shared" ref="G35" si="9">ROUND(SUM(C35:F35)/2,0)</f>
        <v>942189</v>
      </c>
      <c r="H35" s="767"/>
      <c r="I35" s="767">
        <f t="shared" ref="I35" si="10">(M35+Q35)/2</f>
        <v>429708.88</v>
      </c>
      <c r="J35" s="767">
        <f t="shared" ref="J35" si="11">(N35+R35)/2</f>
        <v>127998.30500000001</v>
      </c>
      <c r="K35" s="767">
        <f t="shared" ref="K35" si="12">(O35+S35)/2</f>
        <v>384481.96</v>
      </c>
      <c r="L35" s="767"/>
      <c r="M35" s="608"/>
      <c r="N35" s="608"/>
      <c r="O35" s="608"/>
      <c r="P35" s="767"/>
      <c r="Q35" s="608">
        <v>859417.76</v>
      </c>
      <c r="R35" s="608">
        <v>255996.61000000002</v>
      </c>
      <c r="S35" s="608">
        <v>768963.92</v>
      </c>
    </row>
    <row r="36" spans="1:19">
      <c r="A36" s="784">
        <f t="shared" si="6"/>
        <v>5.0899999999999981</v>
      </c>
      <c r="B36" s="608" t="s">
        <v>1214</v>
      </c>
      <c r="C36" s="767">
        <f t="shared" si="0"/>
        <v>-2421671.46</v>
      </c>
      <c r="D36" s="767">
        <f t="shared" si="1"/>
        <v>-2934999.81</v>
      </c>
      <c r="E36" s="767"/>
      <c r="F36" s="767"/>
      <c r="G36" s="767">
        <f t="shared" si="2"/>
        <v>-2678336</v>
      </c>
      <c r="H36" s="767"/>
      <c r="I36" s="767">
        <f t="shared" si="3"/>
        <v>-1317666.905</v>
      </c>
      <c r="J36" s="767">
        <f t="shared" si="4"/>
        <v>-574771.65</v>
      </c>
      <c r="K36" s="767">
        <f t="shared" si="5"/>
        <v>-785897.08000000007</v>
      </c>
      <c r="L36" s="767"/>
      <c r="M36" s="608">
        <v>-1190949.97</v>
      </c>
      <c r="N36" s="608">
        <v>-501493.5</v>
      </c>
      <c r="O36" s="608">
        <v>-729227.99</v>
      </c>
      <c r="P36" s="767"/>
      <c r="Q36" s="608">
        <v>-1444383.84</v>
      </c>
      <c r="R36" s="608">
        <v>-648049.80000000005</v>
      </c>
      <c r="S36" s="608">
        <v>-842566.17</v>
      </c>
    </row>
    <row r="37" spans="1:19">
      <c r="A37" s="784">
        <f t="shared" si="6"/>
        <v>5.0999999999999979</v>
      </c>
      <c r="B37" s="608" t="s">
        <v>1215</v>
      </c>
      <c r="C37" s="767">
        <f t="shared" si="0"/>
        <v>64369202.959999993</v>
      </c>
      <c r="D37" s="767">
        <f t="shared" si="1"/>
        <v>63011084.809999995</v>
      </c>
      <c r="E37" s="767"/>
      <c r="F37" s="767"/>
      <c r="G37" s="767">
        <f t="shared" si="2"/>
        <v>63690144</v>
      </c>
      <c r="H37" s="767"/>
      <c r="I37" s="767">
        <f t="shared" si="3"/>
        <v>35993643</v>
      </c>
      <c r="J37" s="767">
        <f t="shared" si="4"/>
        <v>17389207.890000001</v>
      </c>
      <c r="K37" s="767">
        <f t="shared" si="5"/>
        <v>10307292.994999999</v>
      </c>
      <c r="L37" s="767"/>
      <c r="M37" s="608">
        <v>36074185.189999998</v>
      </c>
      <c r="N37" s="608">
        <v>17289550.899999999</v>
      </c>
      <c r="O37" s="608">
        <v>11005466.869999999</v>
      </c>
      <c r="P37" s="767"/>
      <c r="Q37" s="608">
        <v>35913100.810000002</v>
      </c>
      <c r="R37" s="608">
        <v>17488864.879999999</v>
      </c>
      <c r="S37" s="608">
        <v>9609119.1199999992</v>
      </c>
    </row>
    <row r="38" spans="1:19">
      <c r="A38" s="784">
        <f t="shared" si="6"/>
        <v>5.1099999999999977</v>
      </c>
      <c r="B38" s="608" t="s">
        <v>1216</v>
      </c>
      <c r="C38" s="767">
        <f t="shared" si="0"/>
        <v>15029.91</v>
      </c>
      <c r="D38" s="767">
        <f t="shared" si="1"/>
        <v>15029.91</v>
      </c>
      <c r="E38" s="767"/>
      <c r="F38" s="767"/>
      <c r="G38" s="767">
        <f t="shared" si="2"/>
        <v>15030</v>
      </c>
      <c r="H38" s="767"/>
      <c r="I38" s="767">
        <f t="shared" si="3"/>
        <v>13506.78</v>
      </c>
      <c r="J38" s="767">
        <f t="shared" si="4"/>
        <v>1523.13</v>
      </c>
      <c r="K38" s="767">
        <f t="shared" si="5"/>
        <v>0</v>
      </c>
      <c r="L38" s="767"/>
      <c r="M38" s="608">
        <v>13506.78</v>
      </c>
      <c r="N38" s="608">
        <v>1523.13</v>
      </c>
      <c r="O38" s="608">
        <v>0</v>
      </c>
      <c r="P38" s="767"/>
      <c r="Q38" s="608">
        <v>13506.78</v>
      </c>
      <c r="R38" s="608">
        <v>1523.13</v>
      </c>
      <c r="S38" s="608"/>
    </row>
    <row r="39" spans="1:19">
      <c r="A39" s="784">
        <f t="shared" si="6"/>
        <v>5.1199999999999974</v>
      </c>
      <c r="B39" s="608" t="s">
        <v>1217</v>
      </c>
      <c r="C39" s="767">
        <f t="shared" si="0"/>
        <v>1314050.6700000002</v>
      </c>
      <c r="D39" s="767">
        <f t="shared" si="1"/>
        <v>1942571.81</v>
      </c>
      <c r="E39" s="767"/>
      <c r="F39" s="767"/>
      <c r="G39" s="767">
        <f t="shared" si="2"/>
        <v>1628311</v>
      </c>
      <c r="H39" s="767"/>
      <c r="I39" s="767">
        <f t="shared" si="3"/>
        <v>0</v>
      </c>
      <c r="J39" s="767">
        <f t="shared" si="4"/>
        <v>35223.300000000003</v>
      </c>
      <c r="K39" s="767">
        <f t="shared" si="5"/>
        <v>1593087.94</v>
      </c>
      <c r="L39" s="767"/>
      <c r="M39" s="608">
        <v>0</v>
      </c>
      <c r="N39" s="608">
        <v>35223.300000000003</v>
      </c>
      <c r="O39" s="608">
        <v>1278827.3700000001</v>
      </c>
      <c r="P39" s="767"/>
      <c r="Q39" s="608"/>
      <c r="R39" s="608">
        <v>35223.300000000003</v>
      </c>
      <c r="S39" s="608">
        <v>1907348.51</v>
      </c>
    </row>
    <row r="40" spans="1:19">
      <c r="A40" s="784">
        <f t="shared" si="6"/>
        <v>5.1299999999999972</v>
      </c>
      <c r="B40" s="608" t="s">
        <v>1218</v>
      </c>
      <c r="C40" s="767">
        <f t="shared" si="0"/>
        <v>4287946.82</v>
      </c>
      <c r="D40" s="767">
        <f t="shared" si="1"/>
        <v>8932665.6400000006</v>
      </c>
      <c r="E40" s="767"/>
      <c r="F40" s="767"/>
      <c r="G40" s="767">
        <f t="shared" si="2"/>
        <v>6610306</v>
      </c>
      <c r="H40" s="767"/>
      <c r="I40" s="767">
        <f t="shared" si="3"/>
        <v>4402929.07</v>
      </c>
      <c r="J40" s="767">
        <f t="shared" si="4"/>
        <v>125257.355</v>
      </c>
      <c r="K40" s="767">
        <f t="shared" si="5"/>
        <v>2082119.8050000002</v>
      </c>
      <c r="L40" s="767"/>
      <c r="M40" s="608">
        <v>2708443.67</v>
      </c>
      <c r="N40" s="608">
        <v>74543.78</v>
      </c>
      <c r="O40" s="608">
        <v>1504959.37</v>
      </c>
      <c r="P40" s="767"/>
      <c r="Q40" s="608">
        <v>6097414.4699999997</v>
      </c>
      <c r="R40" s="608">
        <v>175970.93</v>
      </c>
      <c r="S40" s="608">
        <v>2659280.2400000002</v>
      </c>
    </row>
    <row r="41" spans="1:19">
      <c r="A41" s="784">
        <f t="shared" si="6"/>
        <v>5.139999999999997</v>
      </c>
      <c r="B41" s="608" t="s">
        <v>1219</v>
      </c>
      <c r="C41" s="767">
        <f t="shared" si="0"/>
        <v>-1273.23</v>
      </c>
      <c r="D41" s="767">
        <f t="shared" si="1"/>
        <v>-1954.7200000000003</v>
      </c>
      <c r="E41" s="767"/>
      <c r="F41" s="767"/>
      <c r="G41" s="767">
        <f t="shared" si="2"/>
        <v>-1614</v>
      </c>
      <c r="H41" s="767"/>
      <c r="I41" s="767">
        <f t="shared" si="3"/>
        <v>177.03</v>
      </c>
      <c r="J41" s="767">
        <f t="shared" si="4"/>
        <v>-0.18</v>
      </c>
      <c r="K41" s="767">
        <f t="shared" si="5"/>
        <v>-1790.825</v>
      </c>
      <c r="L41" s="767"/>
      <c r="M41" s="608">
        <v>177.03</v>
      </c>
      <c r="N41" s="608">
        <v>-0.18</v>
      </c>
      <c r="O41" s="608">
        <v>-1450.08</v>
      </c>
      <c r="P41" s="767"/>
      <c r="Q41" s="608">
        <v>177.03</v>
      </c>
      <c r="R41" s="608">
        <v>-0.18</v>
      </c>
      <c r="S41" s="608">
        <v>-2131.5700000000002</v>
      </c>
    </row>
    <row r="42" spans="1:19">
      <c r="A42" s="784">
        <f t="shared" si="6"/>
        <v>5.1499999999999968</v>
      </c>
      <c r="B42" s="608" t="s">
        <v>1220</v>
      </c>
      <c r="C42" s="767">
        <f t="shared" si="0"/>
        <v>-1179779.6000000001</v>
      </c>
      <c r="D42" s="767">
        <f t="shared" si="1"/>
        <v>-1179779.6000000001</v>
      </c>
      <c r="E42" s="767"/>
      <c r="F42" s="767"/>
      <c r="G42" s="767">
        <f t="shared" si="2"/>
        <v>-1179780</v>
      </c>
      <c r="H42" s="767"/>
      <c r="I42" s="767">
        <f t="shared" si="3"/>
        <v>-334697.60000000003</v>
      </c>
      <c r="J42" s="767">
        <f t="shared" si="4"/>
        <v>-100908.2</v>
      </c>
      <c r="K42" s="767">
        <f t="shared" si="5"/>
        <v>-744173.8</v>
      </c>
      <c r="L42" s="767"/>
      <c r="M42" s="608">
        <v>-334697.60000000003</v>
      </c>
      <c r="N42" s="608">
        <v>-100908.2</v>
      </c>
      <c r="O42" s="608">
        <v>-744173.8</v>
      </c>
      <c r="P42" s="767"/>
      <c r="Q42" s="608">
        <v>-334697.60000000003</v>
      </c>
      <c r="R42" s="608">
        <v>-100908.2</v>
      </c>
      <c r="S42" s="608">
        <v>-744173.8</v>
      </c>
    </row>
    <row r="43" spans="1:19">
      <c r="A43" s="784">
        <f t="shared" si="6"/>
        <v>5.1599999999999966</v>
      </c>
      <c r="B43" s="608" t="s">
        <v>1221</v>
      </c>
      <c r="C43" s="767">
        <f t="shared" si="0"/>
        <v>0.21</v>
      </c>
      <c r="D43" s="767">
        <f t="shared" si="1"/>
        <v>0</v>
      </c>
      <c r="E43" s="767"/>
      <c r="F43" s="767"/>
      <c r="G43" s="767">
        <f t="shared" si="2"/>
        <v>0</v>
      </c>
      <c r="H43" s="767"/>
      <c r="I43" s="767">
        <f t="shared" si="3"/>
        <v>0</v>
      </c>
      <c r="J43" s="767">
        <f t="shared" si="4"/>
        <v>-0.105</v>
      </c>
      <c r="K43" s="767">
        <f t="shared" si="5"/>
        <v>0.21</v>
      </c>
      <c r="L43" s="767"/>
      <c r="M43" s="608">
        <v>0</v>
      </c>
      <c r="N43" s="608">
        <v>-0.21</v>
      </c>
      <c r="O43" s="608">
        <v>0.42</v>
      </c>
      <c r="P43" s="767"/>
      <c r="Q43" s="608"/>
      <c r="R43" s="608"/>
      <c r="S43" s="608"/>
    </row>
    <row r="44" spans="1:19">
      <c r="A44" s="784">
        <f t="shared" si="6"/>
        <v>5.1699999999999964</v>
      </c>
      <c r="B44" s="608" t="s">
        <v>1222</v>
      </c>
      <c r="C44" s="767">
        <f t="shared" si="0"/>
        <v>-419371.05</v>
      </c>
      <c r="D44" s="767">
        <f t="shared" si="1"/>
        <v>0</v>
      </c>
      <c r="E44" s="767"/>
      <c r="F44" s="767"/>
      <c r="G44" s="767">
        <f t="shared" si="2"/>
        <v>-209686</v>
      </c>
      <c r="H44" s="767"/>
      <c r="I44" s="767">
        <f t="shared" si="3"/>
        <v>0</v>
      </c>
      <c r="J44" s="767">
        <f t="shared" si="4"/>
        <v>-54369.630000000005</v>
      </c>
      <c r="K44" s="767">
        <f t="shared" si="5"/>
        <v>-155315.89499999999</v>
      </c>
      <c r="L44" s="767"/>
      <c r="M44" s="608">
        <v>0</v>
      </c>
      <c r="N44" s="608">
        <v>-108739.26000000001</v>
      </c>
      <c r="O44" s="608">
        <v>-310631.78999999998</v>
      </c>
      <c r="P44" s="767"/>
      <c r="Q44" s="608"/>
      <c r="R44" s="608"/>
      <c r="S44" s="608"/>
    </row>
    <row r="45" spans="1:19">
      <c r="A45" s="784">
        <f t="shared" si="6"/>
        <v>5.1799999999999962</v>
      </c>
      <c r="B45" s="608" t="s">
        <v>1223</v>
      </c>
      <c r="C45" s="767">
        <f t="shared" si="0"/>
        <v>473288.54000000004</v>
      </c>
      <c r="D45" s="767">
        <f t="shared" si="1"/>
        <v>442381.65</v>
      </c>
      <c r="E45" s="767"/>
      <c r="F45" s="767"/>
      <c r="G45" s="767">
        <f t="shared" si="2"/>
        <v>457835</v>
      </c>
      <c r="H45" s="767"/>
      <c r="I45" s="767">
        <f t="shared" si="3"/>
        <v>43906.119999999995</v>
      </c>
      <c r="J45" s="767">
        <f t="shared" si="4"/>
        <v>0</v>
      </c>
      <c r="K45" s="767">
        <f t="shared" si="5"/>
        <v>413928.97500000003</v>
      </c>
      <c r="L45" s="767"/>
      <c r="M45" s="608">
        <v>50236.5</v>
      </c>
      <c r="N45" s="608">
        <v>0</v>
      </c>
      <c r="O45" s="608">
        <v>423052.04000000004</v>
      </c>
      <c r="P45" s="767"/>
      <c r="Q45" s="608">
        <v>37575.74</v>
      </c>
      <c r="R45" s="608"/>
      <c r="S45" s="608">
        <v>404805.91000000003</v>
      </c>
    </row>
    <row r="46" spans="1:19">
      <c r="A46" s="784">
        <f t="shared" si="6"/>
        <v>5.1899999999999959</v>
      </c>
      <c r="B46" s="608" t="s">
        <v>1195</v>
      </c>
      <c r="C46" s="767">
        <f t="shared" si="0"/>
        <v>31162251.900000002</v>
      </c>
      <c r="D46" s="767">
        <f t="shared" si="1"/>
        <v>31206771.27</v>
      </c>
      <c r="E46" s="767"/>
      <c r="F46" s="767"/>
      <c r="G46" s="767">
        <f t="shared" si="2"/>
        <v>31184512</v>
      </c>
      <c r="H46" s="767"/>
      <c r="I46" s="767">
        <f t="shared" si="3"/>
        <v>16774858.190000001</v>
      </c>
      <c r="J46" s="767">
        <f t="shared" si="4"/>
        <v>1474705.1800000002</v>
      </c>
      <c r="K46" s="767">
        <f t="shared" si="5"/>
        <v>12934948.215</v>
      </c>
      <c r="L46" s="767"/>
      <c r="M46" s="608">
        <v>16758616.630000001</v>
      </c>
      <c r="N46" s="608">
        <v>1474219.09</v>
      </c>
      <c r="O46" s="608">
        <v>12929416.18</v>
      </c>
      <c r="P46" s="767"/>
      <c r="Q46" s="608">
        <v>16791099.75</v>
      </c>
      <c r="R46" s="608">
        <v>1475191.27</v>
      </c>
      <c r="S46" s="608">
        <v>12940480.25</v>
      </c>
    </row>
    <row r="47" spans="1:19">
      <c r="A47" s="784">
        <f t="shared" si="6"/>
        <v>5.1999999999999957</v>
      </c>
      <c r="B47" s="608" t="s">
        <v>1224</v>
      </c>
      <c r="C47" s="767">
        <f t="shared" si="0"/>
        <v>2512068.66</v>
      </c>
      <c r="D47" s="767">
        <f t="shared" si="1"/>
        <v>2512068.66</v>
      </c>
      <c r="E47" s="767"/>
      <c r="F47" s="767"/>
      <c r="G47" s="767">
        <f t="shared" si="2"/>
        <v>2512069</v>
      </c>
      <c r="H47" s="767"/>
      <c r="I47" s="767">
        <f t="shared" si="3"/>
        <v>2512068.66</v>
      </c>
      <c r="J47" s="767">
        <f t="shared" si="4"/>
        <v>0</v>
      </c>
      <c r="K47" s="767">
        <f t="shared" si="5"/>
        <v>0</v>
      </c>
      <c r="L47" s="767"/>
      <c r="M47" s="608">
        <v>2512068.66</v>
      </c>
      <c r="N47" s="608">
        <v>0</v>
      </c>
      <c r="O47" s="608">
        <v>0</v>
      </c>
      <c r="P47" s="767"/>
      <c r="Q47" s="608">
        <v>2512068.66</v>
      </c>
      <c r="R47" s="608"/>
      <c r="S47" s="608"/>
    </row>
    <row r="48" spans="1:19">
      <c r="A48" s="784">
        <f t="shared" si="6"/>
        <v>5.2099999999999955</v>
      </c>
      <c r="B48" s="1071" t="s">
        <v>1038</v>
      </c>
      <c r="C48" s="1071">
        <f t="shared" ref="C48" si="13">SUM(M48:O48)</f>
        <v>0</v>
      </c>
      <c r="D48" s="1071">
        <f t="shared" ref="D48" si="14">SUM(Q48:S48)</f>
        <v>0</v>
      </c>
      <c r="E48" s="1072"/>
      <c r="F48" s="1072"/>
      <c r="G48" s="767">
        <f t="shared" ref="G48" si="15">ROUND(SUM(C48:F48)/2,0)</f>
        <v>0</v>
      </c>
      <c r="H48" s="767"/>
      <c r="I48" s="767">
        <f t="shared" ref="I48:K48" si="16">(M48+Q48)/2</f>
        <v>0</v>
      </c>
      <c r="J48" s="767">
        <f t="shared" si="16"/>
        <v>0</v>
      </c>
      <c r="K48" s="767">
        <f t="shared" si="16"/>
        <v>0</v>
      </c>
      <c r="L48" s="767"/>
      <c r="M48" s="608">
        <v>0</v>
      </c>
      <c r="N48" s="608">
        <v>0</v>
      </c>
      <c r="O48" s="608">
        <v>0</v>
      </c>
      <c r="P48" s="767"/>
      <c r="Q48" s="608"/>
      <c r="R48" s="608"/>
      <c r="S48" s="608"/>
    </row>
    <row r="49" spans="1:19">
      <c r="A49" s="784">
        <f t="shared" si="6"/>
        <v>5.2199999999999953</v>
      </c>
      <c r="B49" s="1071" t="s">
        <v>1039</v>
      </c>
      <c r="C49" s="1071">
        <f>-E49</f>
        <v>0</v>
      </c>
      <c r="D49" s="1071">
        <f>-F49</f>
        <v>0</v>
      </c>
      <c r="E49" s="1072">
        <f>C48</f>
        <v>0</v>
      </c>
      <c r="F49" s="1072">
        <f>D48</f>
        <v>0</v>
      </c>
      <c r="G49" s="767">
        <f>-E49</f>
        <v>0</v>
      </c>
      <c r="H49" s="767"/>
      <c r="I49" s="767"/>
      <c r="J49" s="767"/>
      <c r="K49" s="767"/>
      <c r="L49" s="767"/>
      <c r="M49" s="608"/>
      <c r="N49" s="608"/>
      <c r="O49" s="608"/>
      <c r="P49" s="767"/>
      <c r="Q49" s="608"/>
      <c r="R49" s="608"/>
      <c r="S49" s="608"/>
    </row>
    <row r="50" spans="1:19">
      <c r="A50" s="784">
        <f t="shared" si="6"/>
        <v>5.2299999999999951</v>
      </c>
      <c r="B50" s="608" t="s">
        <v>911</v>
      </c>
      <c r="C50" s="608">
        <f>-E50</f>
        <v>0</v>
      </c>
      <c r="D50" s="608">
        <f>-F50</f>
        <v>0</v>
      </c>
      <c r="E50" s="767"/>
      <c r="F50" s="767"/>
      <c r="G50" s="767">
        <f t="shared" ref="G50:G54" si="17">ROUND(SUM(C50:F50)/2,0)</f>
        <v>0</v>
      </c>
      <c r="H50" s="767"/>
      <c r="I50" s="767"/>
      <c r="J50" s="767"/>
      <c r="K50" s="767"/>
      <c r="L50" s="767"/>
      <c r="M50" s="608"/>
      <c r="N50" s="608"/>
      <c r="O50" s="608"/>
      <c r="P50" s="767"/>
      <c r="Q50" s="608"/>
      <c r="R50" s="608"/>
      <c r="S50" s="608"/>
    </row>
    <row r="51" spans="1:19">
      <c r="A51" s="784">
        <f t="shared" si="6"/>
        <v>5.2399999999999949</v>
      </c>
      <c r="B51" s="608" t="s">
        <v>914</v>
      </c>
      <c r="C51" s="608">
        <f t="shared" ref="C51:C54" si="18">-E51</f>
        <v>10294475.5</v>
      </c>
      <c r="D51" s="608">
        <f t="shared" ref="D51:D54" si="19">-F51</f>
        <v>10829701.74</v>
      </c>
      <c r="E51" s="767">
        <v>-10294475.5</v>
      </c>
      <c r="F51" s="767">
        <v>-10829701.74</v>
      </c>
      <c r="G51" s="767">
        <f t="shared" si="17"/>
        <v>0</v>
      </c>
      <c r="H51" s="767"/>
      <c r="I51" s="767"/>
      <c r="J51" s="767"/>
      <c r="K51" s="767"/>
      <c r="L51" s="767"/>
      <c r="M51" s="608"/>
      <c r="N51" s="608"/>
      <c r="O51" s="608"/>
      <c r="P51" s="767"/>
      <c r="Q51" s="608"/>
      <c r="R51" s="608"/>
      <c r="S51" s="608"/>
    </row>
    <row r="52" spans="1:19">
      <c r="A52" s="784">
        <f t="shared" si="6"/>
        <v>5.2499999999999947</v>
      </c>
      <c r="B52" s="608" t="s">
        <v>1307</v>
      </c>
      <c r="C52" s="608">
        <f t="shared" ref="C52" si="20">-E52</f>
        <v>0</v>
      </c>
      <c r="D52" s="608">
        <f t="shared" ref="D52" si="21">-F52</f>
        <v>489663.87</v>
      </c>
      <c r="E52" s="767">
        <v>0</v>
      </c>
      <c r="F52" s="767">
        <v>-489663.87</v>
      </c>
      <c r="G52" s="767">
        <f t="shared" ref="G52" si="22">ROUND(SUM(C52:F52)/2,0)</f>
        <v>0</v>
      </c>
      <c r="H52" s="767"/>
      <c r="I52" s="767"/>
      <c r="J52" s="767"/>
      <c r="K52" s="767"/>
      <c r="L52" s="767"/>
      <c r="M52" s="608"/>
      <c r="N52" s="608"/>
      <c r="O52" s="608"/>
      <c r="P52" s="767"/>
      <c r="Q52" s="608"/>
      <c r="R52" s="608"/>
      <c r="S52" s="608"/>
    </row>
    <row r="53" spans="1:19">
      <c r="A53" s="784">
        <f t="shared" si="6"/>
        <v>5.2599999999999945</v>
      </c>
      <c r="B53" s="608" t="s">
        <v>915</v>
      </c>
      <c r="C53" s="608">
        <f t="shared" ref="C53" si="23">-E53</f>
        <v>-33669247.75</v>
      </c>
      <c r="D53" s="608">
        <f t="shared" ref="D53" si="24">-F53</f>
        <v>-32543334.75</v>
      </c>
      <c r="E53" s="767">
        <v>33669247.75</v>
      </c>
      <c r="F53" s="767">
        <v>32543334.75</v>
      </c>
      <c r="G53" s="767">
        <f t="shared" ref="G53" si="25">ROUND(SUM(C53:F53)/2,0)</f>
        <v>0</v>
      </c>
      <c r="H53" s="767"/>
      <c r="I53" s="767"/>
      <c r="J53" s="767"/>
      <c r="K53" s="767"/>
      <c r="L53" s="767"/>
      <c r="M53" s="608"/>
      <c r="N53" s="608"/>
      <c r="O53" s="608"/>
      <c r="P53" s="767"/>
      <c r="Q53" s="608"/>
      <c r="R53" s="608"/>
      <c r="S53" s="608"/>
    </row>
    <row r="54" spans="1:19">
      <c r="A54" s="784">
        <f t="shared" si="6"/>
        <v>5.2699999999999942</v>
      </c>
      <c r="B54" s="608" t="s">
        <v>1035</v>
      </c>
      <c r="C54" s="608">
        <f t="shared" si="18"/>
        <v>2595921</v>
      </c>
      <c r="D54" s="608">
        <f t="shared" si="19"/>
        <v>2307484</v>
      </c>
      <c r="E54" s="767">
        <v>-2595921</v>
      </c>
      <c r="F54" s="767">
        <v>-2307484</v>
      </c>
      <c r="G54" s="767">
        <f t="shared" si="17"/>
        <v>0</v>
      </c>
      <c r="H54" s="767"/>
      <c r="I54" s="767"/>
      <c r="J54" s="767"/>
      <c r="K54" s="767"/>
      <c r="L54" s="767"/>
      <c r="M54" s="608"/>
      <c r="N54" s="608"/>
      <c r="O54" s="608"/>
      <c r="P54" s="767"/>
      <c r="Q54" s="608"/>
      <c r="R54" s="608"/>
      <c r="S54" s="608"/>
    </row>
    <row r="55" spans="1:19">
      <c r="A55"/>
    </row>
    <row r="56" spans="1:19">
      <c r="A56" s="774"/>
      <c r="B56" s="760"/>
      <c r="C56" s="767"/>
      <c r="D56" s="767"/>
      <c r="E56" s="767"/>
      <c r="F56" s="767"/>
      <c r="G56" s="767"/>
      <c r="H56" s="767"/>
      <c r="I56" s="767"/>
      <c r="J56" s="767"/>
      <c r="K56" s="767"/>
      <c r="L56" s="767"/>
      <c r="M56" s="767"/>
      <c r="N56" s="767"/>
      <c r="O56" s="767"/>
      <c r="P56" s="767"/>
      <c r="Q56" s="767"/>
      <c r="R56" s="767"/>
      <c r="S56" s="767"/>
    </row>
    <row r="57" spans="1:19" ht="13.5" thickBot="1">
      <c r="A57" s="774">
        <v>6</v>
      </c>
      <c r="B57" t="s">
        <v>721</v>
      </c>
      <c r="C57" s="769">
        <f>SUM(C28:C56)</f>
        <v>132759340.09</v>
      </c>
      <c r="D57" s="769">
        <f>SUM(D28:D56)</f>
        <v>139417042.24000001</v>
      </c>
      <c r="E57" s="769">
        <f>SUM(E28:E56)</f>
        <v>20778851.25</v>
      </c>
      <c r="F57" s="769">
        <f>SUM(F28:F56)</f>
        <v>18916485.140000001</v>
      </c>
      <c r="G57" s="769">
        <f>SUM(G28:G56)</f>
        <v>155935858</v>
      </c>
      <c r="H57" s="767"/>
      <c r="I57" s="769">
        <f>SUM(I28:I56)</f>
        <v>97571460.705000013</v>
      </c>
      <c r="J57" s="769">
        <f>SUM(J28:J56)</f>
        <v>27658544.125</v>
      </c>
      <c r="K57" s="769">
        <f>SUM(K28:K56)</f>
        <v>30705854.530000005</v>
      </c>
      <c r="L57" s="767"/>
      <c r="M57" s="769">
        <f>SUM(M28:M56)</f>
        <v>95928044.329999998</v>
      </c>
      <c r="N57" s="769">
        <f>SUM(N28:N56)</f>
        <v>27507207.759999998</v>
      </c>
      <c r="O57" s="769">
        <f>SUM(O28:O56)</f>
        <v>30102939.250000004</v>
      </c>
      <c r="P57" s="767"/>
      <c r="Q57" s="769">
        <f>SUM(Q28:Q56)</f>
        <v>99214877.079999998</v>
      </c>
      <c r="R57" s="769">
        <f>SUM(R28:R56)</f>
        <v>27809880.489999995</v>
      </c>
      <c r="S57" s="769">
        <f>SUM(S28:S56)</f>
        <v>31308769.809999999</v>
      </c>
    </row>
    <row r="58" spans="1:19" ht="13.5" thickTop="1">
      <c r="A58" s="774">
        <f>A57+1</f>
        <v>7</v>
      </c>
      <c r="B58" s="18" t="s">
        <v>734</v>
      </c>
      <c r="C58" s="770">
        <f>C32</f>
        <v>5453443.6900000004</v>
      </c>
      <c r="D58" s="770">
        <f>D32</f>
        <v>5064449.3499999996</v>
      </c>
      <c r="E58" s="770">
        <f>E32</f>
        <v>0</v>
      </c>
      <c r="F58" s="770">
        <f>F32</f>
        <v>0</v>
      </c>
      <c r="G58" s="770">
        <f>G32</f>
        <v>5258947</v>
      </c>
      <c r="H58" s="767"/>
      <c r="I58" s="770">
        <f>I32</f>
        <v>5269001.25</v>
      </c>
      <c r="J58" s="770">
        <f>J32</f>
        <v>9862.2050000000017</v>
      </c>
      <c r="K58" s="770">
        <f>K32</f>
        <v>-19916.935000000001</v>
      </c>
      <c r="L58" s="770"/>
      <c r="M58" s="770">
        <f>M32</f>
        <v>5441442.1200000001</v>
      </c>
      <c r="N58" s="770">
        <f>N32</f>
        <v>10684.04</v>
      </c>
      <c r="O58" s="770">
        <f>O32</f>
        <v>1317.53</v>
      </c>
      <c r="P58" s="767"/>
      <c r="Q58" s="770">
        <f>Q32</f>
        <v>5096560.38</v>
      </c>
      <c r="R58" s="770">
        <f>R32</f>
        <v>9040.3700000000008</v>
      </c>
      <c r="S58" s="770">
        <f>S32</f>
        <v>-41151.4</v>
      </c>
    </row>
    <row r="59" spans="1:19">
      <c r="A59" s="774"/>
      <c r="C59" s="767"/>
      <c r="D59" s="767"/>
      <c r="E59" s="767"/>
      <c r="F59" s="767"/>
      <c r="G59" s="767"/>
      <c r="H59" s="767"/>
      <c r="I59" s="767"/>
      <c r="J59" s="767"/>
      <c r="K59" s="767"/>
      <c r="L59" s="767"/>
      <c r="M59" s="767"/>
      <c r="N59" s="767"/>
      <c r="O59" s="767"/>
      <c r="P59" s="767"/>
      <c r="Q59" s="767"/>
      <c r="R59" s="767"/>
      <c r="S59" s="767"/>
    </row>
    <row r="60" spans="1:19">
      <c r="A60" s="774">
        <v>8</v>
      </c>
      <c r="B60" t="s">
        <v>722</v>
      </c>
      <c r="C60" s="767" t="s">
        <v>114</v>
      </c>
      <c r="D60" s="767"/>
      <c r="E60" s="767"/>
      <c r="F60" s="767"/>
      <c r="G60" s="767"/>
      <c r="H60" s="767"/>
      <c r="I60" s="767"/>
      <c r="J60" s="767"/>
      <c r="K60" s="767"/>
      <c r="L60" s="767"/>
      <c r="M60" s="767"/>
      <c r="N60" s="767"/>
      <c r="O60" s="767"/>
      <c r="P60" s="767"/>
      <c r="Q60" s="767"/>
      <c r="R60" s="767"/>
      <c r="S60" s="767"/>
    </row>
    <row r="61" spans="1:19">
      <c r="A61" s="774"/>
      <c r="B61" s="760"/>
      <c r="C61" s="767"/>
      <c r="D61" s="767"/>
      <c r="E61" s="767"/>
      <c r="F61" s="767"/>
      <c r="G61" s="767"/>
      <c r="H61" s="767"/>
      <c r="I61" s="767"/>
      <c r="J61" s="767"/>
      <c r="K61" s="767"/>
      <c r="L61" s="767"/>
      <c r="M61" s="767"/>
      <c r="N61" s="767"/>
      <c r="O61" s="767"/>
      <c r="P61" s="767"/>
      <c r="Q61" s="767"/>
      <c r="R61" s="767"/>
      <c r="S61" s="767"/>
    </row>
    <row r="62" spans="1:19">
      <c r="A62" s="784">
        <f>9+0.01</f>
        <v>9.01</v>
      </c>
      <c r="B62" s="608" t="s">
        <v>1225</v>
      </c>
      <c r="C62" s="767">
        <f t="shared" ref="C62:C99" si="26">SUM(M62:O62)</f>
        <v>456598</v>
      </c>
      <c r="D62" s="767">
        <f t="shared" ref="D62:D99" si="27">SUM(Q62:S62)</f>
        <v>405864</v>
      </c>
      <c r="E62" s="767"/>
      <c r="F62" s="767"/>
      <c r="G62" s="767">
        <f t="shared" ref="G62:G99" si="28">ROUND(SUM(C62:F62)/2,0)</f>
        <v>431231</v>
      </c>
      <c r="H62" s="767"/>
      <c r="I62" s="767">
        <f t="shared" ref="I62:I99" si="29">(M62+Q62)/2</f>
        <v>346100</v>
      </c>
      <c r="J62" s="767">
        <f t="shared" ref="J62:J99" si="30">(N62+R62)/2</f>
        <v>35169</v>
      </c>
      <c r="K62" s="767">
        <f t="shared" ref="K62:K99" si="31">(O62+S62)/2</f>
        <v>49962</v>
      </c>
      <c r="L62" s="767"/>
      <c r="M62" s="608">
        <v>366459</v>
      </c>
      <c r="N62" s="608">
        <v>37238</v>
      </c>
      <c r="O62" s="608">
        <v>52901</v>
      </c>
      <c r="P62" s="767"/>
      <c r="Q62" s="608">
        <v>325741</v>
      </c>
      <c r="R62" s="608">
        <v>33100</v>
      </c>
      <c r="S62" s="608">
        <v>47023</v>
      </c>
    </row>
    <row r="63" spans="1:19">
      <c r="A63" s="784">
        <f t="shared" ref="A63:A107" si="32">A62+0.01</f>
        <v>9.02</v>
      </c>
      <c r="B63" s="608" t="s">
        <v>1226</v>
      </c>
      <c r="C63" s="767">
        <f t="shared" si="26"/>
        <v>-461595.03</v>
      </c>
      <c r="D63" s="767">
        <f t="shared" si="27"/>
        <v>-72941.03</v>
      </c>
      <c r="E63" s="767"/>
      <c r="F63" s="767"/>
      <c r="G63" s="767">
        <f t="shared" si="28"/>
        <v>-267268</v>
      </c>
      <c r="H63" s="767"/>
      <c r="I63" s="767">
        <f t="shared" si="29"/>
        <v>0</v>
      </c>
      <c r="J63" s="767">
        <f t="shared" si="30"/>
        <v>-267267.03000000003</v>
      </c>
      <c r="K63" s="767">
        <f t="shared" si="31"/>
        <v>-1</v>
      </c>
      <c r="L63" s="767"/>
      <c r="M63" s="608">
        <v>0</v>
      </c>
      <c r="N63" s="608">
        <v>-461594.03</v>
      </c>
      <c r="O63" s="608">
        <v>-1</v>
      </c>
      <c r="P63" s="767"/>
      <c r="Q63" s="608"/>
      <c r="R63" s="608">
        <v>-72940.03</v>
      </c>
      <c r="S63" s="608">
        <v>-1</v>
      </c>
    </row>
    <row r="64" spans="1:19">
      <c r="A64" s="784">
        <f t="shared" si="32"/>
        <v>9.0299999999999994</v>
      </c>
      <c r="B64" s="608" t="s">
        <v>1227</v>
      </c>
      <c r="C64" s="767">
        <f t="shared" si="26"/>
        <v>3620.06</v>
      </c>
      <c r="D64" s="767">
        <f t="shared" si="27"/>
        <v>4741.74</v>
      </c>
      <c r="E64" s="767"/>
      <c r="F64" s="767"/>
      <c r="G64" s="767">
        <f t="shared" si="28"/>
        <v>4181</v>
      </c>
      <c r="H64" s="767"/>
      <c r="I64" s="767">
        <f t="shared" si="29"/>
        <v>4180.8999999999996</v>
      </c>
      <c r="J64" s="767">
        <f t="shared" si="30"/>
        <v>0</v>
      </c>
      <c r="K64" s="767">
        <f t="shared" si="31"/>
        <v>0</v>
      </c>
      <c r="L64" s="767"/>
      <c r="M64" s="608">
        <v>3620.06</v>
      </c>
      <c r="N64" s="608">
        <v>0</v>
      </c>
      <c r="O64" s="608">
        <v>0</v>
      </c>
      <c r="P64" s="767"/>
      <c r="Q64" s="608">
        <v>4741.74</v>
      </c>
      <c r="R64" s="608"/>
      <c r="S64" s="608"/>
    </row>
    <row r="65" spans="1:19">
      <c r="A65" s="784">
        <f t="shared" si="32"/>
        <v>9.0399999999999991</v>
      </c>
      <c r="B65" s="608" t="s">
        <v>1228</v>
      </c>
      <c r="C65" s="767">
        <f t="shared" si="26"/>
        <v>760.30000000000007</v>
      </c>
      <c r="D65" s="767">
        <f t="shared" si="27"/>
        <v>1046.52</v>
      </c>
      <c r="E65" s="767"/>
      <c r="F65" s="767"/>
      <c r="G65" s="767">
        <f t="shared" si="28"/>
        <v>903</v>
      </c>
      <c r="H65" s="767"/>
      <c r="I65" s="767">
        <f t="shared" si="29"/>
        <v>883.98500000000013</v>
      </c>
      <c r="J65" s="767">
        <f t="shared" si="30"/>
        <v>19.425000000000001</v>
      </c>
      <c r="K65" s="767">
        <f t="shared" si="31"/>
        <v>0</v>
      </c>
      <c r="L65" s="767"/>
      <c r="M65" s="608">
        <v>760.30000000000007</v>
      </c>
      <c r="N65" s="608">
        <v>0</v>
      </c>
      <c r="O65" s="608">
        <v>0</v>
      </c>
      <c r="P65" s="767"/>
      <c r="Q65" s="608">
        <v>1007.6700000000001</v>
      </c>
      <c r="R65" s="608">
        <v>38.85</v>
      </c>
      <c r="S65" s="608"/>
    </row>
    <row r="66" spans="1:19">
      <c r="A66" s="784">
        <f t="shared" si="32"/>
        <v>9.0499999999999989</v>
      </c>
      <c r="B66" s="608" t="s">
        <v>1229</v>
      </c>
      <c r="C66" s="767">
        <f t="shared" si="26"/>
        <v>-613018.6</v>
      </c>
      <c r="D66" s="767">
        <f t="shared" si="27"/>
        <v>11079.539999999999</v>
      </c>
      <c r="E66" s="767"/>
      <c r="F66" s="767"/>
      <c r="G66" s="767">
        <f t="shared" si="28"/>
        <v>-300970</v>
      </c>
      <c r="H66" s="767"/>
      <c r="I66" s="767">
        <f t="shared" si="29"/>
        <v>-301067.59999999998</v>
      </c>
      <c r="J66" s="767">
        <f t="shared" si="30"/>
        <v>0</v>
      </c>
      <c r="K66" s="767">
        <f t="shared" si="31"/>
        <v>98.07</v>
      </c>
      <c r="L66" s="767"/>
      <c r="M66" s="608">
        <v>-612634.09</v>
      </c>
      <c r="N66" s="608">
        <v>0</v>
      </c>
      <c r="O66" s="608">
        <v>-384.51</v>
      </c>
      <c r="P66" s="767"/>
      <c r="Q66" s="608">
        <v>10498.89</v>
      </c>
      <c r="R66" s="608"/>
      <c r="S66" s="608">
        <v>580.65</v>
      </c>
    </row>
    <row r="67" spans="1:19">
      <c r="A67" s="784">
        <f t="shared" si="32"/>
        <v>9.0599999999999987</v>
      </c>
      <c r="B67" s="608" t="s">
        <v>1230</v>
      </c>
      <c r="C67" s="767">
        <f t="shared" si="26"/>
        <v>6599575.8599999994</v>
      </c>
      <c r="D67" s="767">
        <f t="shared" si="27"/>
        <v>7228606.4000000004</v>
      </c>
      <c r="E67" s="767"/>
      <c r="F67" s="767"/>
      <c r="G67" s="767">
        <f t="shared" si="28"/>
        <v>6914091</v>
      </c>
      <c r="H67" s="767"/>
      <c r="I67" s="767">
        <f t="shared" si="29"/>
        <v>5520734.7999999998</v>
      </c>
      <c r="J67" s="767">
        <f t="shared" si="30"/>
        <v>235531.33500000002</v>
      </c>
      <c r="K67" s="767">
        <f t="shared" si="31"/>
        <v>1157824.9949999999</v>
      </c>
      <c r="L67" s="767"/>
      <c r="M67" s="608">
        <v>5348380.97</v>
      </c>
      <c r="N67" s="608">
        <v>226084.55000000002</v>
      </c>
      <c r="O67" s="608">
        <v>1025110.34</v>
      </c>
      <c r="P67" s="767"/>
      <c r="Q67" s="608">
        <v>5693088.6299999999</v>
      </c>
      <c r="R67" s="608">
        <v>244978.12</v>
      </c>
      <c r="S67" s="608">
        <v>1290539.6499999999</v>
      </c>
    </row>
    <row r="68" spans="1:19">
      <c r="A68" s="784">
        <f t="shared" si="32"/>
        <v>9.0699999999999985</v>
      </c>
      <c r="B68" s="608" t="s">
        <v>1231</v>
      </c>
      <c r="C68" s="767">
        <f t="shared" si="26"/>
        <v>-3256279.53</v>
      </c>
      <c r="D68" s="767">
        <f t="shared" si="27"/>
        <v>-2917980.0300000003</v>
      </c>
      <c r="E68" s="767"/>
      <c r="F68" s="767"/>
      <c r="G68" s="767">
        <f t="shared" si="28"/>
        <v>-3087130</v>
      </c>
      <c r="H68" s="767"/>
      <c r="I68" s="767">
        <f t="shared" si="29"/>
        <v>-2354419.41</v>
      </c>
      <c r="J68" s="767">
        <f t="shared" si="30"/>
        <v>-80055.78</v>
      </c>
      <c r="K68" s="767">
        <f t="shared" si="31"/>
        <v>-652654.59000000008</v>
      </c>
      <c r="L68" s="767"/>
      <c r="M68" s="608">
        <v>-2516384.0099999998</v>
      </c>
      <c r="N68" s="608">
        <v>-82256.37</v>
      </c>
      <c r="O68" s="608">
        <v>-657639.15</v>
      </c>
      <c r="P68" s="767"/>
      <c r="Q68" s="608">
        <v>-2192454.81</v>
      </c>
      <c r="R68" s="608">
        <v>-77855.19</v>
      </c>
      <c r="S68" s="608">
        <v>-647670.03</v>
      </c>
    </row>
    <row r="69" spans="1:19">
      <c r="A69" s="784">
        <f t="shared" si="32"/>
        <v>9.0799999999999983</v>
      </c>
      <c r="B69" s="608" t="s">
        <v>1173</v>
      </c>
      <c r="C69" s="767">
        <f t="shared" ref="C69" si="33">SUM(M69:O69)</f>
        <v>0</v>
      </c>
      <c r="D69" s="767">
        <f t="shared" ref="D69" si="34">SUM(Q69:S69)</f>
        <v>-174.72</v>
      </c>
      <c r="E69" s="767"/>
      <c r="F69" s="767"/>
      <c r="G69" s="767">
        <f t="shared" ref="G69" si="35">ROUND(SUM(C69:F69)/2,0)</f>
        <v>-87</v>
      </c>
      <c r="H69" s="767"/>
      <c r="I69" s="767">
        <f t="shared" ref="I69" si="36">(M69+Q69)/2</f>
        <v>0</v>
      </c>
      <c r="J69" s="767">
        <f t="shared" ref="J69" si="37">(N69+R69)/2</f>
        <v>0</v>
      </c>
      <c r="K69" s="767">
        <f t="shared" ref="K69" si="38">(O69+S69)/2</f>
        <v>-87.36</v>
      </c>
      <c r="L69" s="767"/>
      <c r="M69" s="608"/>
      <c r="N69" s="608"/>
      <c r="O69" s="608"/>
      <c r="P69" s="767"/>
      <c r="Q69" s="608"/>
      <c r="R69" s="608"/>
      <c r="S69" s="608">
        <v>-174.72</v>
      </c>
    </row>
    <row r="70" spans="1:19">
      <c r="A70" s="784">
        <f t="shared" si="32"/>
        <v>9.0899999999999981</v>
      </c>
      <c r="B70" s="608" t="s">
        <v>1324</v>
      </c>
      <c r="C70" s="767">
        <f t="shared" ref="C70" si="39">SUM(M70:O70)</f>
        <v>0</v>
      </c>
      <c r="D70" s="767">
        <f t="shared" ref="D70" si="40">SUM(Q70:S70)</f>
        <v>0.02</v>
      </c>
      <c r="E70" s="767"/>
      <c r="F70" s="767"/>
      <c r="G70" s="767">
        <f t="shared" ref="G70" si="41">ROUND(SUM(C70:F70)/2,0)</f>
        <v>0</v>
      </c>
      <c r="H70" s="767"/>
      <c r="I70" s="767">
        <f t="shared" ref="I70" si="42">(M70+Q70)/2</f>
        <v>0</v>
      </c>
      <c r="J70" s="767">
        <f t="shared" ref="J70" si="43">(N70+R70)/2</f>
        <v>0</v>
      </c>
      <c r="K70" s="767">
        <f t="shared" ref="K70" si="44">(O70+S70)/2</f>
        <v>0.01</v>
      </c>
      <c r="L70" s="767"/>
      <c r="M70" s="608"/>
      <c r="N70" s="608"/>
      <c r="O70" s="608"/>
      <c r="P70" s="767"/>
      <c r="Q70" s="608"/>
      <c r="R70" s="608"/>
      <c r="S70" s="608">
        <v>0.02</v>
      </c>
    </row>
    <row r="71" spans="1:19">
      <c r="A71" s="784">
        <f t="shared" si="32"/>
        <v>9.0999999999999979</v>
      </c>
      <c r="B71" s="608" t="s">
        <v>1232</v>
      </c>
      <c r="C71" s="767">
        <f t="shared" si="26"/>
        <v>618831.48</v>
      </c>
      <c r="D71" s="767">
        <f t="shared" si="27"/>
        <v>698392.17</v>
      </c>
      <c r="E71" s="767"/>
      <c r="F71" s="767"/>
      <c r="G71" s="767">
        <f t="shared" si="28"/>
        <v>658612</v>
      </c>
      <c r="H71" s="767"/>
      <c r="I71" s="767">
        <f t="shared" si="29"/>
        <v>0</v>
      </c>
      <c r="J71" s="767">
        <f t="shared" si="30"/>
        <v>0</v>
      </c>
      <c r="K71" s="767">
        <f t="shared" si="31"/>
        <v>658611.82499999995</v>
      </c>
      <c r="L71" s="767"/>
      <c r="M71" s="608">
        <v>0</v>
      </c>
      <c r="N71" s="608">
        <v>0</v>
      </c>
      <c r="O71" s="608">
        <v>618831.48</v>
      </c>
      <c r="P71" s="767"/>
      <c r="Q71" s="608"/>
      <c r="R71" s="608"/>
      <c r="S71" s="608">
        <v>698392.17</v>
      </c>
    </row>
    <row r="72" spans="1:19">
      <c r="A72" s="784">
        <f t="shared" si="32"/>
        <v>9.1099999999999977</v>
      </c>
      <c r="B72" s="608" t="s">
        <v>1233</v>
      </c>
      <c r="C72" s="767">
        <f t="shared" si="26"/>
        <v>0</v>
      </c>
      <c r="D72" s="767">
        <f t="shared" si="27"/>
        <v>-0.04</v>
      </c>
      <c r="E72" s="767"/>
      <c r="F72" s="767"/>
      <c r="G72" s="767">
        <f t="shared" si="28"/>
        <v>0</v>
      </c>
      <c r="H72" s="767"/>
      <c r="I72" s="767">
        <f t="shared" si="29"/>
        <v>0</v>
      </c>
      <c r="J72" s="767">
        <f t="shared" si="30"/>
        <v>-0.02</v>
      </c>
      <c r="K72" s="767">
        <f t="shared" si="31"/>
        <v>0</v>
      </c>
      <c r="L72" s="767"/>
      <c r="M72" s="608">
        <v>0</v>
      </c>
      <c r="N72" s="608">
        <v>0</v>
      </c>
      <c r="O72" s="608">
        <v>0</v>
      </c>
      <c r="P72" s="767"/>
      <c r="Q72" s="608"/>
      <c r="R72" s="608">
        <v>-0.04</v>
      </c>
      <c r="S72" s="608"/>
    </row>
    <row r="73" spans="1:19">
      <c r="A73" s="784">
        <f t="shared" si="32"/>
        <v>9.1199999999999974</v>
      </c>
      <c r="B73" s="608" t="s">
        <v>1234</v>
      </c>
      <c r="C73" s="767">
        <f t="shared" si="26"/>
        <v>3256279.53</v>
      </c>
      <c r="D73" s="767">
        <f t="shared" si="27"/>
        <v>2917980.0300000003</v>
      </c>
      <c r="E73" s="767"/>
      <c r="F73" s="767"/>
      <c r="G73" s="767">
        <f t="shared" si="28"/>
        <v>3087130</v>
      </c>
      <c r="H73" s="767"/>
      <c r="I73" s="767">
        <f t="shared" si="29"/>
        <v>2354419.41</v>
      </c>
      <c r="J73" s="767">
        <f t="shared" si="30"/>
        <v>80055.78</v>
      </c>
      <c r="K73" s="767">
        <f t="shared" si="31"/>
        <v>652654.59000000008</v>
      </c>
      <c r="L73" s="767"/>
      <c r="M73" s="608">
        <v>2516384.0099999998</v>
      </c>
      <c r="N73" s="608">
        <v>82256.37</v>
      </c>
      <c r="O73" s="608">
        <v>657639.15</v>
      </c>
      <c r="P73" s="767"/>
      <c r="Q73" s="608">
        <v>2192454.81</v>
      </c>
      <c r="R73" s="608">
        <v>77855.19</v>
      </c>
      <c r="S73" s="608">
        <v>647670.03</v>
      </c>
    </row>
    <row r="74" spans="1:19">
      <c r="A74" s="784">
        <f t="shared" si="32"/>
        <v>9.1299999999999972</v>
      </c>
      <c r="B74" s="608" t="s">
        <v>1235</v>
      </c>
      <c r="C74" s="767">
        <f t="shared" si="26"/>
        <v>2203.7399999999998</v>
      </c>
      <c r="D74" s="767">
        <f t="shared" si="27"/>
        <v>2436.63</v>
      </c>
      <c r="E74" s="767"/>
      <c r="F74" s="767"/>
      <c r="G74" s="767">
        <f t="shared" si="28"/>
        <v>2320</v>
      </c>
      <c r="H74" s="767"/>
      <c r="I74" s="767">
        <f t="shared" si="29"/>
        <v>1881.7049999999999</v>
      </c>
      <c r="J74" s="767">
        <f t="shared" si="30"/>
        <v>0</v>
      </c>
      <c r="K74" s="767">
        <f t="shared" si="31"/>
        <v>438.48</v>
      </c>
      <c r="L74" s="767"/>
      <c r="M74" s="608">
        <v>1614.27</v>
      </c>
      <c r="N74" s="608">
        <v>0</v>
      </c>
      <c r="O74" s="608">
        <v>589.47</v>
      </c>
      <c r="P74" s="767"/>
      <c r="Q74" s="608">
        <v>2149.14</v>
      </c>
      <c r="R74" s="608"/>
      <c r="S74" s="608">
        <v>287.49</v>
      </c>
    </row>
    <row r="75" spans="1:19">
      <c r="A75" s="784">
        <f t="shared" si="32"/>
        <v>9.139999999999997</v>
      </c>
      <c r="B75" s="608" t="s">
        <v>1236</v>
      </c>
      <c r="C75" s="767">
        <f t="shared" si="26"/>
        <v>21790.23</v>
      </c>
      <c r="D75" s="767">
        <f t="shared" si="27"/>
        <v>89506.83</v>
      </c>
      <c r="E75" s="767"/>
      <c r="F75" s="767"/>
      <c r="G75" s="767">
        <f t="shared" si="28"/>
        <v>55649</v>
      </c>
      <c r="H75" s="767"/>
      <c r="I75" s="767">
        <f t="shared" si="29"/>
        <v>0</v>
      </c>
      <c r="J75" s="767">
        <f t="shared" si="30"/>
        <v>55648.53</v>
      </c>
      <c r="K75" s="767">
        <f t="shared" si="31"/>
        <v>0</v>
      </c>
      <c r="L75" s="767"/>
      <c r="M75" s="608">
        <v>0</v>
      </c>
      <c r="N75" s="608">
        <v>21790.23</v>
      </c>
      <c r="O75" s="608">
        <v>0</v>
      </c>
      <c r="P75" s="767"/>
      <c r="Q75" s="608"/>
      <c r="R75" s="608">
        <v>89506.83</v>
      </c>
      <c r="S75" s="608"/>
    </row>
    <row r="76" spans="1:19">
      <c r="A76" s="784">
        <f t="shared" si="32"/>
        <v>9.1499999999999968</v>
      </c>
      <c r="B76" s="608" t="s">
        <v>1188</v>
      </c>
      <c r="C76" s="767">
        <f t="shared" si="26"/>
        <v>-303232.44</v>
      </c>
      <c r="D76" s="767">
        <f t="shared" si="27"/>
        <v>-472728.27</v>
      </c>
      <c r="E76" s="767"/>
      <c r="F76" s="767"/>
      <c r="G76" s="767">
        <f t="shared" si="28"/>
        <v>-387980</v>
      </c>
      <c r="H76" s="767"/>
      <c r="I76" s="767">
        <f t="shared" si="29"/>
        <v>-387980.35499999998</v>
      </c>
      <c r="J76" s="767">
        <f t="shared" si="30"/>
        <v>0</v>
      </c>
      <c r="K76" s="767">
        <f t="shared" si="31"/>
        <v>0</v>
      </c>
      <c r="L76" s="767"/>
      <c r="M76" s="608">
        <v>-303232.44</v>
      </c>
      <c r="N76" s="608">
        <v>0</v>
      </c>
      <c r="O76" s="608">
        <v>0</v>
      </c>
      <c r="P76" s="767"/>
      <c r="Q76" s="608">
        <v>-472728.27</v>
      </c>
      <c r="R76" s="608"/>
      <c r="S76" s="608"/>
    </row>
    <row r="77" spans="1:19">
      <c r="A77" s="784">
        <f t="shared" si="32"/>
        <v>9.1599999999999966</v>
      </c>
      <c r="B77" s="608" t="s">
        <v>1320</v>
      </c>
      <c r="C77" s="767">
        <f t="shared" ref="C77:C81" si="45">SUM(M77:O77)</f>
        <v>0</v>
      </c>
      <c r="D77" s="767">
        <f t="shared" ref="D77:D81" si="46">SUM(Q77:S77)</f>
        <v>-12720.39</v>
      </c>
      <c r="E77" s="767"/>
      <c r="F77" s="767"/>
      <c r="G77" s="767">
        <f t="shared" ref="G77:G81" si="47">ROUND(SUM(C77:F77)/2,0)</f>
        <v>-6360</v>
      </c>
      <c r="H77" s="767"/>
      <c r="I77" s="767">
        <f t="shared" ref="I77:I81" si="48">(M77+Q77)/2</f>
        <v>-3388.7049999999999</v>
      </c>
      <c r="J77" s="767">
        <f t="shared" ref="J77:J81" si="49">(N77+R77)/2</f>
        <v>-272.64999999999998</v>
      </c>
      <c r="K77" s="767">
        <f t="shared" ref="K77:K81" si="50">(O77+S77)/2</f>
        <v>-2698.84</v>
      </c>
      <c r="L77" s="767"/>
      <c r="M77" s="608"/>
      <c r="N77" s="608"/>
      <c r="O77" s="608"/>
      <c r="P77" s="767"/>
      <c r="Q77" s="608">
        <v>-6777.41</v>
      </c>
      <c r="R77" s="608">
        <v>-545.29999999999995</v>
      </c>
      <c r="S77" s="608">
        <v>-5397.68</v>
      </c>
    </row>
    <row r="78" spans="1:19">
      <c r="A78" s="784">
        <f t="shared" si="32"/>
        <v>9.1699999999999964</v>
      </c>
      <c r="B78" s="608" t="s">
        <v>1321</v>
      </c>
      <c r="C78" s="767">
        <f t="shared" si="45"/>
        <v>0</v>
      </c>
      <c r="D78" s="767">
        <f t="shared" si="46"/>
        <v>59128.710000000006</v>
      </c>
      <c r="E78" s="767"/>
      <c r="F78" s="767"/>
      <c r="G78" s="767">
        <f t="shared" si="47"/>
        <v>29564</v>
      </c>
      <c r="H78" s="767"/>
      <c r="I78" s="767">
        <f t="shared" si="48"/>
        <v>11048.565000000001</v>
      </c>
      <c r="J78" s="767">
        <f t="shared" si="49"/>
        <v>0</v>
      </c>
      <c r="K78" s="767">
        <f t="shared" si="50"/>
        <v>18515.79</v>
      </c>
      <c r="L78" s="767"/>
      <c r="M78" s="608"/>
      <c r="N78" s="608"/>
      <c r="O78" s="608"/>
      <c r="P78" s="767"/>
      <c r="Q78" s="608">
        <v>22097.13</v>
      </c>
      <c r="R78" s="608"/>
      <c r="S78" s="608">
        <v>37031.58</v>
      </c>
    </row>
    <row r="79" spans="1:19">
      <c r="A79" s="784">
        <f t="shared" si="32"/>
        <v>9.1799999999999962</v>
      </c>
      <c r="B79" s="608" t="s">
        <v>1322</v>
      </c>
      <c r="C79" s="767">
        <f t="shared" si="45"/>
        <v>0</v>
      </c>
      <c r="D79" s="767">
        <f t="shared" si="46"/>
        <v>3709.86</v>
      </c>
      <c r="E79" s="767"/>
      <c r="F79" s="767"/>
      <c r="G79" s="767">
        <f t="shared" si="47"/>
        <v>1855</v>
      </c>
      <c r="H79" s="767"/>
      <c r="I79" s="767">
        <f t="shared" si="48"/>
        <v>693.83500000000004</v>
      </c>
      <c r="J79" s="767">
        <f t="shared" si="49"/>
        <v>0</v>
      </c>
      <c r="K79" s="767">
        <f t="shared" si="50"/>
        <v>1161.095</v>
      </c>
      <c r="L79" s="767"/>
      <c r="M79" s="608"/>
      <c r="N79" s="608"/>
      <c r="O79" s="608"/>
      <c r="P79" s="767"/>
      <c r="Q79" s="608">
        <v>1387.67</v>
      </c>
      <c r="R79" s="608"/>
      <c r="S79" s="608">
        <v>2322.19</v>
      </c>
    </row>
    <row r="80" spans="1:19">
      <c r="A80" s="784">
        <f t="shared" si="32"/>
        <v>9.1899999999999959</v>
      </c>
      <c r="B80" s="608" t="s">
        <v>1327</v>
      </c>
      <c r="C80" s="767">
        <f t="shared" ref="C80" si="51">SUM(M80:O80)</f>
        <v>0</v>
      </c>
      <c r="D80" s="767">
        <f t="shared" ref="D80" si="52">SUM(Q80:S80)</f>
        <v>10299.540000000001</v>
      </c>
      <c r="E80" s="767"/>
      <c r="F80" s="767"/>
      <c r="G80" s="767">
        <f t="shared" ref="G80" si="53">ROUND(SUM(C80:F80)/2,0)</f>
        <v>5150</v>
      </c>
      <c r="H80" s="767"/>
      <c r="I80" s="767">
        <f t="shared" ref="I80" si="54">(M80+Q80)/2</f>
        <v>0</v>
      </c>
      <c r="J80" s="767">
        <f t="shared" ref="J80" si="55">(N80+R80)/2</f>
        <v>0</v>
      </c>
      <c r="K80" s="767">
        <f t="shared" ref="K80" si="56">(O80+S80)/2</f>
        <v>5149.7700000000004</v>
      </c>
      <c r="L80" s="767"/>
      <c r="M80" s="608"/>
      <c r="N80" s="608"/>
      <c r="O80" s="608"/>
      <c r="P80" s="767"/>
      <c r="Q80" s="608"/>
      <c r="R80" s="608"/>
      <c r="S80" s="608">
        <v>10299.540000000001</v>
      </c>
    </row>
    <row r="81" spans="1:19">
      <c r="A81" s="784">
        <f t="shared" si="32"/>
        <v>9.1999999999999957</v>
      </c>
      <c r="B81" s="608" t="s">
        <v>1323</v>
      </c>
      <c r="C81" s="767">
        <f t="shared" si="45"/>
        <v>0</v>
      </c>
      <c r="D81" s="767">
        <f t="shared" si="46"/>
        <v>1848689.01</v>
      </c>
      <c r="E81" s="767"/>
      <c r="F81" s="767"/>
      <c r="G81" s="767">
        <f t="shared" si="47"/>
        <v>924345</v>
      </c>
      <c r="H81" s="767"/>
      <c r="I81" s="767">
        <f t="shared" si="48"/>
        <v>924344.505</v>
      </c>
      <c r="J81" s="767">
        <f t="shared" si="49"/>
        <v>0</v>
      </c>
      <c r="K81" s="767">
        <f t="shared" si="50"/>
        <v>0</v>
      </c>
      <c r="L81" s="767"/>
      <c r="M81" s="608"/>
      <c r="N81" s="608"/>
      <c r="O81" s="608"/>
      <c r="P81" s="767"/>
      <c r="Q81" s="608">
        <v>1848689.01</v>
      </c>
      <c r="R81" s="608"/>
      <c r="S81" s="608"/>
    </row>
    <row r="82" spans="1:19">
      <c r="A82" s="784">
        <f t="shared" si="32"/>
        <v>9.2099999999999955</v>
      </c>
      <c r="B82" s="608" t="s">
        <v>1237</v>
      </c>
      <c r="C82" s="767">
        <f t="shared" si="26"/>
        <v>-0.43</v>
      </c>
      <c r="D82" s="767">
        <f t="shared" si="27"/>
        <v>-0.49</v>
      </c>
      <c r="E82" s="767"/>
      <c r="F82" s="767"/>
      <c r="G82" s="767">
        <f t="shared" si="28"/>
        <v>0</v>
      </c>
      <c r="H82" s="767"/>
      <c r="I82" s="767">
        <f t="shared" si="29"/>
        <v>0</v>
      </c>
      <c r="J82" s="767">
        <f t="shared" si="30"/>
        <v>-0.25</v>
      </c>
      <c r="K82" s="767">
        <f t="shared" si="31"/>
        <v>-0.21</v>
      </c>
      <c r="L82" s="767"/>
      <c r="M82" s="608">
        <v>0</v>
      </c>
      <c r="N82" s="608">
        <v>-0.22</v>
      </c>
      <c r="O82" s="608">
        <v>-0.21</v>
      </c>
      <c r="P82" s="767"/>
      <c r="Q82" s="608"/>
      <c r="R82" s="608">
        <v>-0.28000000000000003</v>
      </c>
      <c r="S82" s="608">
        <v>-0.21</v>
      </c>
    </row>
    <row r="83" spans="1:19">
      <c r="A83" s="784">
        <f t="shared" si="32"/>
        <v>9.2199999999999953</v>
      </c>
      <c r="B83" s="608" t="s">
        <v>1238</v>
      </c>
      <c r="C83" s="767">
        <f t="shared" si="26"/>
        <v>81954.33</v>
      </c>
      <c r="D83" s="767">
        <f t="shared" si="27"/>
        <v>51193.74</v>
      </c>
      <c r="E83" s="767"/>
      <c r="F83" s="767"/>
      <c r="G83" s="767">
        <f t="shared" si="28"/>
        <v>66574</v>
      </c>
      <c r="H83" s="767"/>
      <c r="I83" s="767">
        <f t="shared" si="29"/>
        <v>0</v>
      </c>
      <c r="J83" s="767">
        <f t="shared" si="30"/>
        <v>0</v>
      </c>
      <c r="K83" s="767">
        <f t="shared" si="31"/>
        <v>66574.035000000003</v>
      </c>
      <c r="L83" s="767"/>
      <c r="M83" s="608">
        <v>0</v>
      </c>
      <c r="N83" s="608">
        <v>0</v>
      </c>
      <c r="O83" s="608">
        <v>81954.33</v>
      </c>
      <c r="P83" s="767"/>
      <c r="Q83" s="608"/>
      <c r="R83" s="608"/>
      <c r="S83" s="608">
        <v>51193.74</v>
      </c>
    </row>
    <row r="84" spans="1:19">
      <c r="A84" s="784">
        <f t="shared" si="32"/>
        <v>9.2299999999999951</v>
      </c>
      <c r="B84" s="608" t="s">
        <v>1239</v>
      </c>
      <c r="C84" s="767">
        <f t="shared" si="26"/>
        <v>81950.23</v>
      </c>
      <c r="D84" s="767">
        <f t="shared" si="27"/>
        <v>-2038.2200000000084</v>
      </c>
      <c r="E84" s="767"/>
      <c r="F84" s="767"/>
      <c r="G84" s="767">
        <f t="shared" si="28"/>
        <v>39956</v>
      </c>
      <c r="H84" s="767"/>
      <c r="I84" s="767">
        <f t="shared" si="29"/>
        <v>79363.87</v>
      </c>
      <c r="J84" s="767">
        <f t="shared" si="30"/>
        <v>-8271.48</v>
      </c>
      <c r="K84" s="767">
        <f t="shared" si="31"/>
        <v>-31136.385000000002</v>
      </c>
      <c r="L84" s="767"/>
      <c r="M84" s="608">
        <v>81950.23</v>
      </c>
      <c r="N84" s="608">
        <v>0</v>
      </c>
      <c r="O84" s="608">
        <v>0</v>
      </c>
      <c r="P84" s="767"/>
      <c r="Q84" s="608">
        <v>76777.509999999995</v>
      </c>
      <c r="R84" s="608">
        <v>-16542.96</v>
      </c>
      <c r="S84" s="608">
        <v>-62272.770000000004</v>
      </c>
    </row>
    <row r="85" spans="1:19">
      <c r="A85" s="784">
        <f t="shared" si="32"/>
        <v>9.2399999999999949</v>
      </c>
      <c r="B85" s="608" t="s">
        <v>1240</v>
      </c>
      <c r="C85" s="767">
        <f t="shared" si="26"/>
        <v>168741.02</v>
      </c>
      <c r="D85" s="767">
        <f t="shared" si="27"/>
        <v>122421.45</v>
      </c>
      <c r="E85" s="767"/>
      <c r="F85" s="767"/>
      <c r="G85" s="767">
        <f t="shared" si="28"/>
        <v>145581</v>
      </c>
      <c r="H85" s="767"/>
      <c r="I85" s="767">
        <f t="shared" si="29"/>
        <v>0</v>
      </c>
      <c r="J85" s="767">
        <f t="shared" si="30"/>
        <v>0</v>
      </c>
      <c r="K85" s="767">
        <f t="shared" si="31"/>
        <v>145581.23499999999</v>
      </c>
      <c r="L85" s="767"/>
      <c r="M85" s="608">
        <v>0</v>
      </c>
      <c r="N85" s="608">
        <v>0</v>
      </c>
      <c r="O85" s="608">
        <v>168741.02</v>
      </c>
      <c r="P85" s="767"/>
      <c r="Q85" s="608"/>
      <c r="R85" s="608"/>
      <c r="S85" s="608">
        <v>122421.45</v>
      </c>
    </row>
    <row r="86" spans="1:19">
      <c r="A86" s="784">
        <f t="shared" si="32"/>
        <v>9.2499999999999947</v>
      </c>
      <c r="B86" s="608" t="s">
        <v>1325</v>
      </c>
      <c r="C86" s="767">
        <f t="shared" ref="C86:C87" si="57">SUM(M86:O86)</f>
        <v>0</v>
      </c>
      <c r="D86" s="767">
        <f t="shared" ref="D86:D87" si="58">SUM(Q86:S86)</f>
        <v>12709.41</v>
      </c>
      <c r="E86" s="767"/>
      <c r="F86" s="767"/>
      <c r="G86" s="767">
        <f t="shared" ref="G86:G87" si="59">ROUND(SUM(C86:F86)/2,0)</f>
        <v>6355</v>
      </c>
      <c r="H86" s="767"/>
      <c r="I86" s="767">
        <f t="shared" ref="I86:I87" si="60">(M86+Q86)/2</f>
        <v>0</v>
      </c>
      <c r="J86" s="767">
        <f t="shared" ref="J86:J87" si="61">(N86+R86)/2</f>
        <v>0</v>
      </c>
      <c r="K86" s="767">
        <f t="shared" ref="K86:K87" si="62">(O86+S86)/2</f>
        <v>6354.7049999999999</v>
      </c>
      <c r="L86" s="767"/>
      <c r="M86" s="608"/>
      <c r="N86" s="608"/>
      <c r="O86" s="608"/>
      <c r="P86" s="767"/>
      <c r="Q86" s="608"/>
      <c r="R86" s="608"/>
      <c r="S86" s="608">
        <v>12709.41</v>
      </c>
    </row>
    <row r="87" spans="1:19">
      <c r="A87" s="784">
        <f t="shared" si="32"/>
        <v>9.2599999999999945</v>
      </c>
      <c r="B87" s="608" t="s">
        <v>1326</v>
      </c>
      <c r="C87" s="767">
        <f t="shared" si="57"/>
        <v>0</v>
      </c>
      <c r="D87" s="767">
        <f t="shared" si="58"/>
        <v>-5019.21</v>
      </c>
      <c r="E87" s="767"/>
      <c r="F87" s="767"/>
      <c r="G87" s="767">
        <f t="shared" si="59"/>
        <v>-2510</v>
      </c>
      <c r="H87" s="767"/>
      <c r="I87" s="767">
        <f t="shared" si="60"/>
        <v>0</v>
      </c>
      <c r="J87" s="767">
        <f t="shared" si="61"/>
        <v>0</v>
      </c>
      <c r="K87" s="767">
        <f t="shared" si="62"/>
        <v>-2509.605</v>
      </c>
      <c r="L87" s="767"/>
      <c r="M87" s="608"/>
      <c r="N87" s="608"/>
      <c r="O87" s="608"/>
      <c r="P87" s="767"/>
      <c r="Q87" s="608"/>
      <c r="R87" s="608"/>
      <c r="S87" s="608">
        <v>-5019.21</v>
      </c>
    </row>
    <row r="88" spans="1:19">
      <c r="A88" s="784">
        <f t="shared" si="32"/>
        <v>9.2699999999999942</v>
      </c>
      <c r="B88" s="608" t="s">
        <v>1241</v>
      </c>
      <c r="C88" s="767">
        <f t="shared" si="26"/>
        <v>4806.34</v>
      </c>
      <c r="D88" s="767">
        <f t="shared" si="27"/>
        <v>3213.63</v>
      </c>
      <c r="E88" s="767"/>
      <c r="F88" s="767"/>
      <c r="G88" s="767">
        <f t="shared" si="28"/>
        <v>4010</v>
      </c>
      <c r="H88" s="767"/>
      <c r="I88" s="767">
        <f t="shared" si="29"/>
        <v>0</v>
      </c>
      <c r="J88" s="767">
        <f t="shared" si="30"/>
        <v>0</v>
      </c>
      <c r="K88" s="767">
        <f t="shared" si="31"/>
        <v>4009.9850000000001</v>
      </c>
      <c r="L88" s="767"/>
      <c r="M88" s="608">
        <v>0</v>
      </c>
      <c r="N88" s="608">
        <v>0</v>
      </c>
      <c r="O88" s="608">
        <v>4806.34</v>
      </c>
      <c r="P88" s="767"/>
      <c r="Q88" s="608"/>
      <c r="R88" s="608"/>
      <c r="S88" s="608">
        <v>3213.63</v>
      </c>
    </row>
    <row r="89" spans="1:19">
      <c r="A89" s="784">
        <f t="shared" si="32"/>
        <v>9.279999999999994</v>
      </c>
      <c r="B89" s="608" t="s">
        <v>1242</v>
      </c>
      <c r="C89" s="767">
        <f t="shared" si="26"/>
        <v>-0.15</v>
      </c>
      <c r="D89" s="767">
        <f t="shared" si="27"/>
        <v>-0.15</v>
      </c>
      <c r="E89" s="767"/>
      <c r="F89" s="767"/>
      <c r="G89" s="767">
        <f t="shared" si="28"/>
        <v>0</v>
      </c>
      <c r="H89" s="767"/>
      <c r="I89" s="767">
        <f t="shared" si="29"/>
        <v>0</v>
      </c>
      <c r="J89" s="767">
        <f t="shared" si="30"/>
        <v>0</v>
      </c>
      <c r="K89" s="767">
        <f t="shared" si="31"/>
        <v>-0.15</v>
      </c>
      <c r="L89" s="767"/>
      <c r="M89" s="608">
        <v>0</v>
      </c>
      <c r="N89" s="608">
        <v>0</v>
      </c>
      <c r="O89" s="608">
        <v>-0.15</v>
      </c>
      <c r="P89" s="767"/>
      <c r="Q89" s="608"/>
      <c r="R89" s="608"/>
      <c r="S89" s="608">
        <v>-0.15</v>
      </c>
    </row>
    <row r="90" spans="1:19">
      <c r="A90" s="784">
        <f t="shared" si="32"/>
        <v>9.2899999999999938</v>
      </c>
      <c r="B90" s="608" t="s">
        <v>1243</v>
      </c>
      <c r="C90" s="767">
        <f t="shared" si="26"/>
        <v>-15222.06</v>
      </c>
      <c r="D90" s="767">
        <f t="shared" si="27"/>
        <v>-13530.06</v>
      </c>
      <c r="E90" s="767"/>
      <c r="F90" s="767"/>
      <c r="G90" s="767">
        <f t="shared" si="28"/>
        <v>-14376</v>
      </c>
      <c r="H90" s="767"/>
      <c r="I90" s="767">
        <f t="shared" si="29"/>
        <v>-5216.63</v>
      </c>
      <c r="J90" s="767">
        <f t="shared" si="30"/>
        <v>-1019.6100000000001</v>
      </c>
      <c r="K90" s="767">
        <f t="shared" si="31"/>
        <v>-8139.82</v>
      </c>
      <c r="L90" s="767"/>
      <c r="M90" s="608">
        <v>-5523.63</v>
      </c>
      <c r="N90" s="608">
        <v>-1079.6100000000001</v>
      </c>
      <c r="O90" s="608">
        <v>-8618.82</v>
      </c>
      <c r="P90" s="767"/>
      <c r="Q90" s="608">
        <v>-4909.63</v>
      </c>
      <c r="R90" s="608">
        <v>-959.61</v>
      </c>
      <c r="S90" s="608">
        <v>-7660.82</v>
      </c>
    </row>
    <row r="91" spans="1:19">
      <c r="A91" s="784">
        <f t="shared" si="32"/>
        <v>9.2999999999999936</v>
      </c>
      <c r="B91" s="608" t="s">
        <v>1244</v>
      </c>
      <c r="C91" s="771">
        <f t="shared" si="26"/>
        <v>-0.01</v>
      </c>
      <c r="D91" s="771">
        <f t="shared" si="27"/>
        <v>-0.01</v>
      </c>
      <c r="E91" s="771"/>
      <c r="F91" s="771"/>
      <c r="G91" s="771">
        <f t="shared" si="28"/>
        <v>0</v>
      </c>
      <c r="H91" s="771"/>
      <c r="I91" s="771">
        <f t="shared" si="29"/>
        <v>0</v>
      </c>
      <c r="J91" s="771">
        <f t="shared" si="30"/>
        <v>0</v>
      </c>
      <c r="K91" s="771">
        <f t="shared" si="31"/>
        <v>-0.01</v>
      </c>
      <c r="L91" s="771"/>
      <c r="M91" s="608">
        <v>0</v>
      </c>
      <c r="N91" s="608">
        <v>0</v>
      </c>
      <c r="O91" s="608">
        <v>-0.01</v>
      </c>
      <c r="P91" s="771"/>
      <c r="Q91" s="608"/>
      <c r="R91" s="608"/>
      <c r="S91" s="608">
        <v>-0.01</v>
      </c>
    </row>
    <row r="92" spans="1:19">
      <c r="A92" s="784">
        <f t="shared" si="32"/>
        <v>9.3099999999999934</v>
      </c>
      <c r="B92" s="608" t="s">
        <v>1245</v>
      </c>
      <c r="C92" s="767">
        <f t="shared" si="26"/>
        <v>22539910.989999998</v>
      </c>
      <c r="D92" s="767">
        <f t="shared" si="27"/>
        <v>39238727.479999997</v>
      </c>
      <c r="E92" s="767"/>
      <c r="F92" s="767"/>
      <c r="G92" s="767">
        <f t="shared" si="28"/>
        <v>30889319</v>
      </c>
      <c r="H92" s="767"/>
      <c r="I92" s="767">
        <f t="shared" si="29"/>
        <v>30889319.234999999</v>
      </c>
      <c r="J92" s="767">
        <f t="shared" si="30"/>
        <v>0</v>
      </c>
      <c r="K92" s="767">
        <f t="shared" si="31"/>
        <v>0</v>
      </c>
      <c r="L92" s="767"/>
      <c r="M92" s="608">
        <v>22539910.989999998</v>
      </c>
      <c r="N92" s="608">
        <v>0</v>
      </c>
      <c r="O92" s="608">
        <v>0</v>
      </c>
      <c r="P92" s="767"/>
      <c r="Q92" s="608">
        <v>39238727.479999997</v>
      </c>
      <c r="R92" s="608"/>
      <c r="S92" s="608"/>
    </row>
    <row r="93" spans="1:19">
      <c r="A93" s="784">
        <f t="shared" si="32"/>
        <v>9.3199999999999932</v>
      </c>
      <c r="B93" s="608" t="s">
        <v>1246</v>
      </c>
      <c r="C93" s="767">
        <f t="shared" si="26"/>
        <v>5067.57</v>
      </c>
      <c r="D93" s="767">
        <f t="shared" si="27"/>
        <v>2079.63</v>
      </c>
      <c r="E93" s="767"/>
      <c r="F93" s="767"/>
      <c r="G93" s="767">
        <f t="shared" si="28"/>
        <v>3574</v>
      </c>
      <c r="H93" s="767"/>
      <c r="I93" s="767">
        <f t="shared" si="29"/>
        <v>3573.6</v>
      </c>
      <c r="J93" s="767">
        <f t="shared" si="30"/>
        <v>0</v>
      </c>
      <c r="K93" s="767">
        <f t="shared" si="31"/>
        <v>0</v>
      </c>
      <c r="L93" s="767"/>
      <c r="M93" s="608">
        <v>5067.57</v>
      </c>
      <c r="N93" s="608">
        <v>0</v>
      </c>
      <c r="O93" s="608">
        <v>0</v>
      </c>
      <c r="P93" s="767"/>
      <c r="Q93" s="608">
        <v>2079.63</v>
      </c>
      <c r="R93" s="608"/>
      <c r="S93" s="608"/>
    </row>
    <row r="94" spans="1:19">
      <c r="A94" s="784">
        <f t="shared" si="32"/>
        <v>9.329999999999993</v>
      </c>
      <c r="B94" s="608" t="s">
        <v>1247</v>
      </c>
      <c r="C94" s="767">
        <f t="shared" si="26"/>
        <v>2598066.0300000003</v>
      </c>
      <c r="D94" s="767">
        <f t="shared" si="27"/>
        <v>2436526.4700000002</v>
      </c>
      <c r="E94" s="767"/>
      <c r="F94" s="767"/>
      <c r="G94" s="767">
        <f t="shared" si="28"/>
        <v>2517296</v>
      </c>
      <c r="H94" s="767"/>
      <c r="I94" s="767">
        <f t="shared" si="29"/>
        <v>2517296.25</v>
      </c>
      <c r="J94" s="767">
        <f t="shared" si="30"/>
        <v>0</v>
      </c>
      <c r="K94" s="767">
        <f t="shared" si="31"/>
        <v>0</v>
      </c>
      <c r="L94" s="767"/>
      <c r="M94" s="608">
        <v>2598066.0300000003</v>
      </c>
      <c r="N94" s="608">
        <v>0</v>
      </c>
      <c r="O94" s="608">
        <v>0</v>
      </c>
      <c r="P94" s="767"/>
      <c r="Q94" s="608">
        <v>2436526.4700000002</v>
      </c>
      <c r="R94" s="608"/>
      <c r="S94" s="608"/>
    </row>
    <row r="95" spans="1:19">
      <c r="A95" s="784">
        <f t="shared" si="32"/>
        <v>9.3399999999999928</v>
      </c>
      <c r="B95" s="608" t="s">
        <v>1248</v>
      </c>
      <c r="C95" s="767">
        <f t="shared" si="26"/>
        <v>4181132.87</v>
      </c>
      <c r="D95" s="767">
        <f t="shared" si="27"/>
        <v>6893275.0600000005</v>
      </c>
      <c r="E95" s="767"/>
      <c r="F95" s="767"/>
      <c r="G95" s="767">
        <f t="shared" si="28"/>
        <v>5537204</v>
      </c>
      <c r="H95" s="767"/>
      <c r="I95" s="767">
        <f t="shared" si="29"/>
        <v>5537203.9649999999</v>
      </c>
      <c r="J95" s="767">
        <f t="shared" si="30"/>
        <v>0</v>
      </c>
      <c r="K95" s="767">
        <f t="shared" si="31"/>
        <v>0</v>
      </c>
      <c r="L95" s="767"/>
      <c r="M95" s="608">
        <v>4181132.87</v>
      </c>
      <c r="N95" s="608">
        <v>0</v>
      </c>
      <c r="O95" s="608">
        <v>0</v>
      </c>
      <c r="P95" s="767"/>
      <c r="Q95" s="608">
        <v>6893275.0600000005</v>
      </c>
      <c r="R95" s="608"/>
      <c r="S95" s="608"/>
    </row>
    <row r="96" spans="1:19">
      <c r="A96" s="784">
        <f t="shared" si="32"/>
        <v>9.3499999999999925</v>
      </c>
      <c r="B96" s="608" t="s">
        <v>1249</v>
      </c>
      <c r="C96" s="767">
        <f t="shared" si="26"/>
        <v>27250755.420000002</v>
      </c>
      <c r="D96" s="767">
        <f t="shared" si="27"/>
        <v>24369388.050000001</v>
      </c>
      <c r="E96" s="767"/>
      <c r="F96" s="767"/>
      <c r="G96" s="767">
        <f t="shared" si="28"/>
        <v>25810072</v>
      </c>
      <c r="H96" s="767"/>
      <c r="I96" s="767">
        <f t="shared" si="29"/>
        <v>25810071.734999999</v>
      </c>
      <c r="J96" s="767">
        <f t="shared" si="30"/>
        <v>0</v>
      </c>
      <c r="K96" s="767">
        <f t="shared" si="31"/>
        <v>0</v>
      </c>
      <c r="L96" s="767"/>
      <c r="M96" s="608">
        <v>27250755.420000002</v>
      </c>
      <c r="N96" s="608">
        <v>0</v>
      </c>
      <c r="O96" s="608">
        <v>0</v>
      </c>
      <c r="P96" s="767"/>
      <c r="Q96" s="608">
        <v>24369388.050000001</v>
      </c>
      <c r="R96" s="608"/>
      <c r="S96" s="608"/>
    </row>
    <row r="97" spans="1:19">
      <c r="A97" s="784">
        <f t="shared" si="32"/>
        <v>9.3599999999999923</v>
      </c>
      <c r="B97" s="608" t="s">
        <v>1319</v>
      </c>
      <c r="C97" s="767">
        <f t="shared" ref="C97" si="63">SUM(M97:O97)</f>
        <v>0</v>
      </c>
      <c r="D97" s="767">
        <f t="shared" ref="D97" si="64">SUM(Q97:S97)</f>
        <v>2761.33</v>
      </c>
      <c r="E97" s="767"/>
      <c r="F97" s="767"/>
      <c r="G97" s="767">
        <f t="shared" ref="G97" si="65">ROUND(SUM(C97:F97)/2,0)</f>
        <v>1381</v>
      </c>
      <c r="H97" s="767"/>
      <c r="I97" s="767">
        <f t="shared" ref="I97" si="66">(M97+Q97)/2</f>
        <v>1380.665</v>
      </c>
      <c r="J97" s="767">
        <f t="shared" ref="J97" si="67">(N97+R97)/2</f>
        <v>0</v>
      </c>
      <c r="K97" s="767">
        <f t="shared" ref="K97" si="68">(O97+S97)/2</f>
        <v>0</v>
      </c>
      <c r="L97" s="767"/>
      <c r="M97" s="608"/>
      <c r="N97" s="608"/>
      <c r="O97" s="608"/>
      <c r="P97" s="767"/>
      <c r="Q97" s="608">
        <v>2761.33</v>
      </c>
      <c r="R97" s="608"/>
      <c r="S97" s="608"/>
    </row>
    <row r="98" spans="1:19">
      <c r="A98" s="784">
        <f t="shared" si="32"/>
        <v>9.3699999999999921</v>
      </c>
      <c r="B98" s="608" t="s">
        <v>1250</v>
      </c>
      <c r="C98" s="767">
        <f t="shared" si="26"/>
        <v>-18165</v>
      </c>
      <c r="D98" s="767">
        <f t="shared" si="27"/>
        <v>-27090</v>
      </c>
      <c r="E98" s="767"/>
      <c r="F98" s="767"/>
      <c r="G98" s="767">
        <f t="shared" si="28"/>
        <v>-22628</v>
      </c>
      <c r="H98" s="767"/>
      <c r="I98" s="767">
        <f t="shared" si="29"/>
        <v>-22627.5</v>
      </c>
      <c r="J98" s="767">
        <f t="shared" si="30"/>
        <v>0</v>
      </c>
      <c r="K98" s="767">
        <f t="shared" si="31"/>
        <v>0</v>
      </c>
      <c r="L98" s="767"/>
      <c r="M98" s="608">
        <v>-18165</v>
      </c>
      <c r="N98" s="608">
        <v>0</v>
      </c>
      <c r="O98" s="608">
        <v>0</v>
      </c>
      <c r="P98" s="767"/>
      <c r="Q98" s="608">
        <v>-27090</v>
      </c>
      <c r="R98" s="608"/>
      <c r="S98" s="608"/>
    </row>
    <row r="99" spans="1:19">
      <c r="A99" s="784">
        <f t="shared" si="32"/>
        <v>9.3799999999999919</v>
      </c>
      <c r="B99" s="608" t="s">
        <v>1251</v>
      </c>
      <c r="C99" s="767">
        <f t="shared" si="26"/>
        <v>92502.95</v>
      </c>
      <c r="D99" s="767">
        <f t="shared" si="27"/>
        <v>252602.96</v>
      </c>
      <c r="E99" s="767"/>
      <c r="F99" s="767"/>
      <c r="G99" s="767">
        <f t="shared" si="28"/>
        <v>172553</v>
      </c>
      <c r="H99" s="767"/>
      <c r="I99" s="767">
        <f t="shared" si="29"/>
        <v>172552.95499999999</v>
      </c>
      <c r="J99" s="767">
        <f t="shared" si="30"/>
        <v>0</v>
      </c>
      <c r="K99" s="767">
        <f t="shared" si="31"/>
        <v>0</v>
      </c>
      <c r="L99" s="767"/>
      <c r="M99" s="608">
        <v>92502.95</v>
      </c>
      <c r="N99" s="608">
        <v>0</v>
      </c>
      <c r="O99" s="608">
        <v>0</v>
      </c>
      <c r="P99" s="767"/>
      <c r="Q99" s="608">
        <v>252602.96</v>
      </c>
      <c r="R99" s="608"/>
      <c r="S99" s="608"/>
    </row>
    <row r="100" spans="1:19">
      <c r="A100" s="784">
        <f t="shared" si="32"/>
        <v>9.3899999999999917</v>
      </c>
      <c r="B100" s="1071" t="s">
        <v>1038</v>
      </c>
      <c r="C100" s="1071">
        <f t="shared" ref="C100" si="69">SUM(M100:O100)</f>
        <v>0</v>
      </c>
      <c r="D100" s="1071">
        <f t="shared" ref="D100" si="70">SUM(Q100:S100)</f>
        <v>0</v>
      </c>
      <c r="E100" s="1072"/>
      <c r="F100" s="1072"/>
      <c r="G100" s="767">
        <f>ROUND(SUM(C100:F100)/2,0)</f>
        <v>0</v>
      </c>
      <c r="H100" s="767"/>
      <c r="I100" s="767">
        <f t="shared" ref="I100:K100" si="71">(M100+Q100)/2</f>
        <v>0</v>
      </c>
      <c r="J100" s="767">
        <f t="shared" si="71"/>
        <v>0</v>
      </c>
      <c r="K100" s="767">
        <f t="shared" si="71"/>
        <v>0</v>
      </c>
      <c r="L100" s="767"/>
      <c r="M100" s="608">
        <v>0</v>
      </c>
      <c r="N100" s="608">
        <v>0</v>
      </c>
      <c r="O100" s="608">
        <v>0</v>
      </c>
      <c r="P100" s="767"/>
      <c r="Q100" s="608"/>
      <c r="R100" s="608"/>
      <c r="S100" s="608"/>
    </row>
    <row r="101" spans="1:19">
      <c r="A101" s="784">
        <f t="shared" si="32"/>
        <v>9.3999999999999915</v>
      </c>
      <c r="B101" s="1071" t="s">
        <v>1039</v>
      </c>
      <c r="C101" s="1071">
        <f>-E101</f>
        <v>0</v>
      </c>
      <c r="D101" s="1071">
        <f>-F101</f>
        <v>0</v>
      </c>
      <c r="E101" s="1072">
        <f>C100</f>
        <v>0</v>
      </c>
      <c r="F101" s="1072">
        <f>D100</f>
        <v>0</v>
      </c>
      <c r="G101" s="767">
        <f t="shared" ref="G101:G107" si="72">ROUND(SUM(C101:F101)/2,0)</f>
        <v>0</v>
      </c>
      <c r="H101" s="767"/>
      <c r="I101" s="767"/>
      <c r="J101" s="767"/>
      <c r="K101" s="767"/>
      <c r="L101" s="767"/>
      <c r="M101" s="1056"/>
      <c r="N101" s="1056"/>
      <c r="O101" s="1056"/>
      <c r="P101" s="767"/>
      <c r="Q101" s="1056"/>
      <c r="R101" s="1056"/>
      <c r="S101" s="1056"/>
    </row>
    <row r="102" spans="1:19">
      <c r="A102" s="784">
        <f t="shared" si="32"/>
        <v>9.4099999999999913</v>
      </c>
      <c r="B102" s="608" t="s">
        <v>911</v>
      </c>
      <c r="C102" s="767">
        <f>-E102</f>
        <v>2456251.56</v>
      </c>
      <c r="D102" s="767">
        <f>-F102</f>
        <v>3426040.8</v>
      </c>
      <c r="E102" s="767">
        <v>-2456251.56</v>
      </c>
      <c r="F102" s="767">
        <v>-3426040.8</v>
      </c>
      <c r="G102" s="767">
        <f t="shared" si="72"/>
        <v>0</v>
      </c>
      <c r="H102" s="767"/>
      <c r="I102" s="767"/>
      <c r="J102" s="767"/>
      <c r="K102" s="767"/>
      <c r="L102" s="767"/>
      <c r="M102" s="1056"/>
      <c r="N102" s="1056"/>
      <c r="O102" s="1056"/>
      <c r="P102" s="767"/>
      <c r="Q102" s="1056"/>
      <c r="R102" s="1056"/>
      <c r="S102" s="1056"/>
    </row>
    <row r="103" spans="1:19">
      <c r="A103" s="784">
        <f t="shared" si="32"/>
        <v>9.419999999999991</v>
      </c>
      <c r="B103" s="608" t="s">
        <v>916</v>
      </c>
      <c r="C103" s="767">
        <f t="shared" ref="C103:C104" si="73">-E103</f>
        <v>16632583.24</v>
      </c>
      <c r="D103" s="767">
        <f t="shared" ref="D103:D104" si="74">-F103</f>
        <v>16464996.609999999</v>
      </c>
      <c r="E103" s="767">
        <v>-16632583.24</v>
      </c>
      <c r="F103" s="767">
        <v>-16464996.609999999</v>
      </c>
      <c r="G103" s="767">
        <f t="shared" si="72"/>
        <v>0</v>
      </c>
      <c r="H103" s="767"/>
      <c r="I103" s="767"/>
      <c r="J103" s="767"/>
      <c r="K103" s="767"/>
      <c r="L103" s="767"/>
      <c r="M103" s="1056"/>
      <c r="N103" s="1056"/>
      <c r="O103" s="1056"/>
      <c r="P103" s="767"/>
      <c r="Q103" s="1056"/>
      <c r="R103" s="1056"/>
      <c r="S103" s="1056"/>
    </row>
    <row r="104" spans="1:19">
      <c r="A104" s="784">
        <f t="shared" si="32"/>
        <v>9.4299999999999908</v>
      </c>
      <c r="B104" s="608" t="s">
        <v>917</v>
      </c>
      <c r="C104" s="767">
        <f t="shared" si="73"/>
        <v>461595.03</v>
      </c>
      <c r="D104" s="767">
        <f t="shared" si="74"/>
        <v>135352.44</v>
      </c>
      <c r="E104" s="767">
        <v>-461595.03</v>
      </c>
      <c r="F104" s="767">
        <v>-135352.44</v>
      </c>
      <c r="G104" s="767">
        <f t="shared" si="72"/>
        <v>0</v>
      </c>
      <c r="H104" s="767"/>
      <c r="I104" s="767"/>
      <c r="J104" s="767"/>
      <c r="K104" s="767"/>
      <c r="L104" s="767"/>
      <c r="M104" s="1056"/>
      <c r="N104" s="1056"/>
      <c r="O104" s="1056"/>
      <c r="P104" s="767"/>
      <c r="Q104" s="1056"/>
      <c r="R104" s="1056"/>
      <c r="S104" s="1056"/>
    </row>
    <row r="105" spans="1:19">
      <c r="A105" s="784">
        <f t="shared" si="32"/>
        <v>9.4399999999999906</v>
      </c>
      <c r="B105" s="608" t="s">
        <v>1040</v>
      </c>
      <c r="C105" s="767">
        <f t="shared" ref="C105" si="75">-E105</f>
        <v>-72486</v>
      </c>
      <c r="D105" s="767">
        <f t="shared" ref="D105" si="76">-F105</f>
        <v>-44608.270000000004</v>
      </c>
      <c r="E105" s="767">
        <v>72486</v>
      </c>
      <c r="F105" s="767">
        <v>44608.270000000004</v>
      </c>
      <c r="G105" s="767">
        <f t="shared" ref="G105" si="77">ROUND(SUM(C105:F105)/2,0)</f>
        <v>0</v>
      </c>
      <c r="H105" s="767"/>
      <c r="I105" s="767"/>
      <c r="J105" s="767"/>
      <c r="K105" s="767"/>
      <c r="L105" s="767"/>
      <c r="M105" s="1056"/>
      <c r="N105" s="1056"/>
      <c r="O105" s="1056"/>
      <c r="P105" s="767"/>
      <c r="Q105" s="1056"/>
      <c r="R105" s="1056"/>
      <c r="S105" s="1056"/>
    </row>
    <row r="106" spans="1:19">
      <c r="A106" s="784">
        <f t="shared" si="32"/>
        <v>9.4499999999999904</v>
      </c>
      <c r="B106" s="608" t="s">
        <v>1036</v>
      </c>
      <c r="C106" s="767">
        <f t="shared" ref="C106" si="78">-E106</f>
        <v>-456598</v>
      </c>
      <c r="D106" s="767">
        <f t="shared" ref="D106" si="79">-F106</f>
        <v>-405864</v>
      </c>
      <c r="E106" s="767">
        <v>456598</v>
      </c>
      <c r="F106" s="767">
        <v>405864</v>
      </c>
      <c r="G106" s="767">
        <f t="shared" si="72"/>
        <v>0</v>
      </c>
      <c r="H106" s="767"/>
      <c r="I106" s="767"/>
      <c r="J106" s="767"/>
      <c r="K106" s="767"/>
      <c r="L106" s="767"/>
      <c r="M106" s="1056"/>
      <c r="N106" s="1056"/>
      <c r="O106" s="1056"/>
      <c r="P106" s="767"/>
      <c r="Q106" s="1056"/>
      <c r="R106" s="1056"/>
      <c r="S106" s="1056"/>
    </row>
    <row r="107" spans="1:19">
      <c r="A107" s="784">
        <f t="shared" si="32"/>
        <v>9.4599999999999902</v>
      </c>
      <c r="B107" s="608" t="s">
        <v>918</v>
      </c>
      <c r="C107" s="767">
        <f t="shared" ref="C107" si="80">SUM(M107:O107)</f>
        <v>0</v>
      </c>
      <c r="D107" s="767">
        <f t="shared" ref="D107" si="81">SUM(Q107:S107)</f>
        <v>0</v>
      </c>
      <c r="E107" s="767">
        <v>0</v>
      </c>
      <c r="F107" s="767">
        <v>0</v>
      </c>
      <c r="G107" s="767">
        <f t="shared" si="72"/>
        <v>0</v>
      </c>
      <c r="H107" s="767"/>
      <c r="I107" s="767"/>
      <c r="J107" s="767"/>
      <c r="K107" s="767"/>
      <c r="L107" s="767"/>
      <c r="M107" s="1056"/>
      <c r="N107" s="1056"/>
      <c r="O107" s="1056"/>
      <c r="P107" s="767"/>
      <c r="Q107" s="1056"/>
      <c r="R107" s="1056"/>
      <c r="S107" s="1056"/>
    </row>
    <row r="108" spans="1:19">
      <c r="A108" s="774"/>
      <c r="B108" s="760"/>
      <c r="C108" s="767"/>
      <c r="D108" s="767"/>
      <c r="E108" s="767"/>
      <c r="F108" s="767"/>
      <c r="G108" s="767"/>
      <c r="H108" s="767"/>
      <c r="I108" s="767"/>
      <c r="J108" s="767"/>
      <c r="K108" s="767"/>
      <c r="L108" s="767"/>
      <c r="M108" s="767"/>
      <c r="N108" s="767"/>
      <c r="O108" s="767"/>
      <c r="P108" s="767"/>
      <c r="Q108" s="767"/>
      <c r="R108" s="767"/>
      <c r="S108" s="767"/>
    </row>
    <row r="109" spans="1:19">
      <c r="A109" s="774"/>
      <c r="B109" s="760"/>
      <c r="C109" s="767"/>
      <c r="D109" s="767"/>
      <c r="E109" s="767"/>
      <c r="F109" s="767"/>
      <c r="G109" s="767"/>
      <c r="H109" s="767"/>
      <c r="I109" s="767"/>
      <c r="J109" s="767"/>
      <c r="K109" s="767"/>
      <c r="L109" s="767"/>
      <c r="M109" s="767"/>
      <c r="N109" s="767"/>
      <c r="O109" s="767"/>
      <c r="P109" s="767"/>
      <c r="Q109" s="767"/>
      <c r="R109" s="767"/>
      <c r="S109" s="767"/>
    </row>
    <row r="110" spans="1:19" ht="13.5" thickBot="1">
      <c r="A110" s="774">
        <v>10</v>
      </c>
      <c r="C110" s="769">
        <f>SUM(C62:C109)</f>
        <v>82318379.530000001</v>
      </c>
      <c r="D110" s="769">
        <f>SUM(D62:D109)</f>
        <v>102718075.16999999</v>
      </c>
      <c r="E110" s="769">
        <f>SUM(E62:E109)</f>
        <v>-19021345.830000002</v>
      </c>
      <c r="F110" s="769">
        <f>SUM(F62:F109)</f>
        <v>-19575917.580000002</v>
      </c>
      <c r="G110" s="769">
        <f>SUM(G62:G109)</f>
        <v>73219597</v>
      </c>
      <c r="H110" s="772"/>
      <c r="I110" s="769">
        <f>SUM(I62:I109)</f>
        <v>71100349.780000001</v>
      </c>
      <c r="J110" s="769">
        <f>SUM(J62:J109)</f>
        <v>49537.249999999971</v>
      </c>
      <c r="K110" s="769">
        <f>SUM(K62:K109)</f>
        <v>2069708.615</v>
      </c>
      <c r="L110" s="772"/>
      <c r="M110" s="769">
        <f>SUM(M62:M109)</f>
        <v>61530665.5</v>
      </c>
      <c r="N110" s="769">
        <f>SUM(N62:N109)</f>
        <v>-177561.07999999996</v>
      </c>
      <c r="O110" s="769">
        <f>SUM(O62:O109)</f>
        <v>1943929.2800000003</v>
      </c>
      <c r="P110" s="772"/>
      <c r="Q110" s="769">
        <f>SUM(Q62:Q109)</f>
        <v>80670034.059999987</v>
      </c>
      <c r="R110" s="769">
        <f>SUM(R62:R109)</f>
        <v>276635.58</v>
      </c>
      <c r="S110" s="769">
        <f>SUM(S62:S109)</f>
        <v>2195487.9500000007</v>
      </c>
    </row>
    <row r="111" spans="1:19" ht="13.5" thickTop="1">
      <c r="A111" s="774"/>
      <c r="B111" s="760"/>
      <c r="C111" s="770"/>
      <c r="D111" s="770"/>
      <c r="E111" s="770"/>
      <c r="F111" s="770"/>
      <c r="G111" s="770"/>
      <c r="H111" s="767"/>
      <c r="I111" s="770"/>
      <c r="J111" s="770"/>
      <c r="K111" s="770"/>
      <c r="L111" s="767"/>
      <c r="M111" s="770"/>
      <c r="N111" s="770"/>
      <c r="O111" s="770"/>
      <c r="P111" s="767"/>
      <c r="Q111" s="770"/>
      <c r="R111" s="770"/>
      <c r="S111" s="770"/>
    </row>
    <row r="112" spans="1:19">
      <c r="A112" s="774"/>
      <c r="B112" s="760"/>
      <c r="C112" s="767"/>
      <c r="D112" s="767"/>
      <c r="E112" s="767"/>
      <c r="F112" s="767"/>
      <c r="G112" s="767"/>
      <c r="H112" s="767"/>
      <c r="I112" s="767"/>
      <c r="J112" s="767"/>
      <c r="K112" s="767"/>
      <c r="L112" s="767"/>
      <c r="M112" s="767"/>
      <c r="N112" s="767"/>
      <c r="O112" s="767"/>
      <c r="P112" s="767"/>
      <c r="Q112" s="767"/>
      <c r="R112" s="767"/>
      <c r="S112" s="767"/>
    </row>
    <row r="113" spans="1:19">
      <c r="A113" s="774">
        <f>+A110+1</f>
        <v>11</v>
      </c>
      <c r="B113" t="s">
        <v>723</v>
      </c>
      <c r="C113" s="767">
        <f>SUM(M113:O113)</f>
        <v>15436762.17</v>
      </c>
      <c r="D113" s="767">
        <f>SUM(Q113:S113)</f>
        <v>15441550.890000001</v>
      </c>
      <c r="E113" s="767"/>
      <c r="F113" s="767"/>
      <c r="G113" s="767">
        <f>ROUND(SUM(C113:F113)/2,0)</f>
        <v>15439157</v>
      </c>
      <c r="H113" s="767"/>
      <c r="I113" s="767">
        <f>(M113+Q113)/2</f>
        <v>11051884.59</v>
      </c>
      <c r="J113" s="767">
        <f>(N113+R113)/2</f>
        <v>448672.02</v>
      </c>
      <c r="K113" s="767">
        <f>(O113+S113)/2</f>
        <v>3938599.92</v>
      </c>
      <c r="L113" s="767"/>
      <c r="M113" s="608">
        <v>11048622.470000001</v>
      </c>
      <c r="N113" s="608">
        <v>448816.11</v>
      </c>
      <c r="O113" s="608">
        <v>3939323.59</v>
      </c>
      <c r="P113" s="767"/>
      <c r="Q113" s="608">
        <v>11055146.710000001</v>
      </c>
      <c r="R113" s="608">
        <v>448527.93</v>
      </c>
      <c r="S113" s="608">
        <v>3937876.25</v>
      </c>
    </row>
    <row r="114" spans="1:19">
      <c r="A114" s="784">
        <f>A113+0.01</f>
        <v>11.01</v>
      </c>
      <c r="B114" s="608" t="s">
        <v>919</v>
      </c>
      <c r="C114" s="608">
        <f>-E114</f>
        <v>56652751.350000001</v>
      </c>
      <c r="D114" s="608">
        <f>-F114</f>
        <v>61156191.640000001</v>
      </c>
      <c r="E114" s="767">
        <v>-56652751.350000001</v>
      </c>
      <c r="F114" s="767">
        <v>-61156191.640000001</v>
      </c>
      <c r="G114" s="767">
        <f>ROUND(SUM(C114:F114)/2,0)</f>
        <v>0</v>
      </c>
      <c r="H114" s="767"/>
      <c r="I114" s="767"/>
      <c r="J114" s="767"/>
      <c r="K114" s="767"/>
      <c r="L114" s="767"/>
      <c r="M114" s="767"/>
      <c r="N114" s="767"/>
      <c r="O114" s="767"/>
      <c r="P114" s="767"/>
      <c r="Q114" s="767"/>
      <c r="R114" s="767"/>
      <c r="S114" s="767"/>
    </row>
    <row r="115" spans="1:19">
      <c r="A115" s="774"/>
      <c r="B115" s="760"/>
      <c r="C115" s="767"/>
      <c r="D115" s="767"/>
      <c r="E115" s="767"/>
      <c r="F115" s="767"/>
      <c r="G115" s="767"/>
      <c r="H115" s="767"/>
      <c r="I115" s="767"/>
      <c r="J115" s="767"/>
      <c r="K115" s="767"/>
      <c r="L115" s="767"/>
      <c r="M115" s="767"/>
      <c r="N115" s="767"/>
      <c r="O115" s="767"/>
      <c r="P115" s="767"/>
      <c r="Q115" s="767"/>
      <c r="R115" s="767"/>
      <c r="S115" s="767"/>
    </row>
    <row r="116" spans="1:19" ht="13.5" thickBot="1">
      <c r="A116" s="774">
        <f>+A113+1</f>
        <v>12</v>
      </c>
      <c r="B116" s="3" t="s">
        <v>724</v>
      </c>
      <c r="C116" s="769">
        <f>SUM(C110:C115)</f>
        <v>154407893.05000001</v>
      </c>
      <c r="D116" s="769">
        <f>SUM(D110:D115)</f>
        <v>179315817.69999999</v>
      </c>
      <c r="E116" s="769">
        <f>SUM(E110:E115)</f>
        <v>-75674097.180000007</v>
      </c>
      <c r="F116" s="769">
        <f>SUM(F110:F115)</f>
        <v>-80732109.219999999</v>
      </c>
      <c r="G116" s="769">
        <f>SUM(G110:G115)</f>
        <v>88658754</v>
      </c>
      <c r="H116" s="767"/>
      <c r="I116" s="769">
        <f>SUM(I110:I115)</f>
        <v>82152234.370000005</v>
      </c>
      <c r="J116" s="769">
        <f>SUM(J110:J115)</f>
        <v>498209.27</v>
      </c>
      <c r="K116" s="769">
        <f>SUM(K110:K115)</f>
        <v>6008308.5350000001</v>
      </c>
      <c r="L116" s="767"/>
      <c r="M116" s="769">
        <f>SUM(M110:M115)</f>
        <v>72579287.969999999</v>
      </c>
      <c r="N116" s="769">
        <f>SUM(N110:N115)</f>
        <v>271255.03000000003</v>
      </c>
      <c r="O116" s="769">
        <f>SUM(O110:O115)</f>
        <v>5883252.8700000001</v>
      </c>
      <c r="P116" s="767"/>
      <c r="Q116" s="769">
        <f>SUM(Q110:Q115)</f>
        <v>91725180.769999981</v>
      </c>
      <c r="R116" s="769">
        <f>SUM(R110:R115)</f>
        <v>725163.51</v>
      </c>
      <c r="S116" s="769">
        <f>SUM(S110:S115)</f>
        <v>6133364.2000000011</v>
      </c>
    </row>
    <row r="117" spans="1:19" ht="13.5" thickTop="1">
      <c r="A117" s="774">
        <f>A116+1</f>
        <v>13</v>
      </c>
      <c r="B117" s="18" t="s">
        <v>735</v>
      </c>
      <c r="C117" s="770">
        <f>C91</f>
        <v>-0.01</v>
      </c>
      <c r="D117" s="770">
        <f>D91</f>
        <v>-0.01</v>
      </c>
      <c r="E117" s="770">
        <f>E91</f>
        <v>0</v>
      </c>
      <c r="F117" s="770">
        <f>F91</f>
        <v>0</v>
      </c>
      <c r="G117" s="770">
        <f>G91</f>
        <v>0</v>
      </c>
      <c r="H117" s="767"/>
      <c r="I117" s="770">
        <f>I91</f>
        <v>0</v>
      </c>
      <c r="J117" s="770">
        <f>J91</f>
        <v>0</v>
      </c>
      <c r="K117" s="770">
        <f>K91</f>
        <v>-0.01</v>
      </c>
      <c r="L117" s="767"/>
      <c r="M117" s="770">
        <f>M91</f>
        <v>0</v>
      </c>
      <c r="N117" s="770">
        <f>N91</f>
        <v>0</v>
      </c>
      <c r="O117" s="770">
        <f>O91</f>
        <v>-0.01</v>
      </c>
      <c r="P117" s="767"/>
      <c r="Q117" s="770">
        <f>Q91</f>
        <v>0</v>
      </c>
      <c r="R117" s="770">
        <f>R91</f>
        <v>0</v>
      </c>
      <c r="S117" s="770">
        <f>S91</f>
        <v>-0.01</v>
      </c>
    </row>
    <row r="118" spans="1:19">
      <c r="A118" s="774"/>
      <c r="B118" s="760"/>
      <c r="C118" s="767"/>
      <c r="D118" s="767"/>
      <c r="E118" s="767"/>
      <c r="F118" s="767"/>
      <c r="G118" s="767"/>
      <c r="H118" s="767"/>
      <c r="I118" s="767"/>
      <c r="J118" s="767"/>
      <c r="K118" s="767"/>
      <c r="L118" s="767"/>
      <c r="M118" s="767"/>
      <c r="N118" s="767"/>
      <c r="O118" s="767"/>
      <c r="P118" s="767"/>
      <c r="Q118" s="767"/>
      <c r="R118" s="767"/>
      <c r="S118" s="767"/>
    </row>
    <row r="119" spans="1:19">
      <c r="A119" s="774">
        <f>+A117+1</f>
        <v>14</v>
      </c>
      <c r="B119" t="s">
        <v>725</v>
      </c>
      <c r="C119" s="767"/>
      <c r="D119" s="767"/>
      <c r="E119" s="767"/>
      <c r="F119" s="767"/>
      <c r="G119" s="767"/>
      <c r="H119" s="767"/>
      <c r="I119" s="767"/>
      <c r="J119" s="767"/>
      <c r="K119" s="767"/>
      <c r="L119" s="767"/>
      <c r="M119" s="767"/>
      <c r="N119" s="767"/>
      <c r="O119" s="767"/>
      <c r="P119" s="767"/>
      <c r="Q119" s="767"/>
      <c r="R119" s="767"/>
      <c r="S119" s="767"/>
    </row>
    <row r="120" spans="1:19">
      <c r="A120" s="774"/>
      <c r="B120" s="760"/>
      <c r="C120" s="767"/>
      <c r="D120" s="767"/>
      <c r="E120" s="767"/>
      <c r="F120" s="767"/>
      <c r="G120" s="767"/>
      <c r="H120" s="767"/>
      <c r="I120" s="767"/>
      <c r="J120" s="767"/>
      <c r="K120" s="767"/>
      <c r="L120" s="767"/>
      <c r="M120" s="767"/>
      <c r="N120" s="767"/>
      <c r="O120" s="767"/>
      <c r="P120" s="767"/>
      <c r="Q120" s="767"/>
      <c r="R120" s="767"/>
      <c r="S120" s="767"/>
    </row>
    <row r="121" spans="1:19">
      <c r="A121" s="774">
        <f>+A119+1</f>
        <v>15</v>
      </c>
      <c r="B121" t="s">
        <v>726</v>
      </c>
      <c r="C121" s="767"/>
      <c r="D121" s="767"/>
      <c r="E121" s="767"/>
      <c r="F121" s="767"/>
      <c r="G121" s="767"/>
      <c r="H121" s="767"/>
      <c r="I121" s="767"/>
      <c r="J121" s="767"/>
      <c r="K121" s="767"/>
      <c r="L121" s="767"/>
      <c r="M121" s="767"/>
      <c r="N121" s="767"/>
      <c r="O121" s="767"/>
      <c r="P121" s="767"/>
      <c r="Q121" s="767"/>
      <c r="R121" s="767"/>
      <c r="S121" s="767"/>
    </row>
    <row r="122" spans="1:19">
      <c r="A122" s="774"/>
      <c r="B122" s="760"/>
      <c r="C122" s="767"/>
      <c r="D122" s="772"/>
      <c r="E122" s="772"/>
      <c r="F122" s="772"/>
      <c r="G122" s="772"/>
      <c r="H122" s="772"/>
      <c r="I122" s="772"/>
      <c r="J122" s="772"/>
      <c r="K122" s="772"/>
      <c r="L122" s="772"/>
      <c r="M122" s="767"/>
      <c r="N122" s="767"/>
      <c r="O122" s="767"/>
      <c r="P122" s="767"/>
      <c r="Q122" s="767"/>
      <c r="R122" s="767"/>
      <c r="S122" s="767"/>
    </row>
    <row r="123" spans="1:19">
      <c r="A123" s="774">
        <f>+A121+1</f>
        <v>16</v>
      </c>
      <c r="B123" t="s">
        <v>727</v>
      </c>
      <c r="C123" s="767"/>
      <c r="D123" s="772"/>
      <c r="E123" s="772"/>
      <c r="F123" s="772"/>
      <c r="G123" s="772"/>
      <c r="H123" s="772"/>
      <c r="I123" s="772"/>
      <c r="J123" s="772"/>
      <c r="K123" s="772"/>
      <c r="L123" s="772"/>
      <c r="M123" s="767"/>
      <c r="N123" s="767"/>
      <c r="O123" s="767"/>
      <c r="P123" s="767"/>
      <c r="Q123" s="767"/>
      <c r="R123" s="767"/>
      <c r="S123" s="767"/>
    </row>
    <row r="124" spans="1:19">
      <c r="A124" s="774"/>
      <c r="B124" s="760"/>
      <c r="C124" s="767"/>
      <c r="D124" s="767"/>
      <c r="E124" s="767"/>
      <c r="F124" s="767"/>
      <c r="G124" s="767"/>
      <c r="H124" s="767"/>
      <c r="I124" s="767"/>
      <c r="J124" s="767"/>
      <c r="K124" s="767"/>
      <c r="L124" s="767"/>
      <c r="M124" s="767"/>
      <c r="N124" s="767"/>
      <c r="O124" s="767"/>
      <c r="P124" s="767"/>
      <c r="Q124" s="767"/>
      <c r="R124" s="767"/>
      <c r="S124" s="767"/>
    </row>
    <row r="125" spans="1:19">
      <c r="A125" s="774">
        <f>+A123+1</f>
        <v>17</v>
      </c>
      <c r="B125" t="s">
        <v>728</v>
      </c>
      <c r="C125" s="767"/>
      <c r="D125" s="767"/>
      <c r="E125" s="767"/>
      <c r="F125" s="767"/>
      <c r="G125" s="767"/>
      <c r="H125" s="767"/>
      <c r="I125" s="767"/>
      <c r="J125" s="767"/>
      <c r="K125" s="767"/>
      <c r="L125" s="767"/>
      <c r="M125" s="767"/>
      <c r="N125" s="767"/>
      <c r="O125" s="767"/>
      <c r="P125" s="767"/>
      <c r="Q125" s="767"/>
      <c r="R125" s="767"/>
      <c r="S125" s="767"/>
    </row>
    <row r="126" spans="1:19">
      <c r="A126" s="774">
        <f>A125+1</f>
        <v>18</v>
      </c>
      <c r="B126" t="s">
        <v>729</v>
      </c>
      <c r="C126" s="767"/>
      <c r="D126" s="767"/>
      <c r="E126" s="767"/>
      <c r="F126" s="767"/>
      <c r="G126" s="767"/>
      <c r="H126" s="767"/>
      <c r="I126" s="767"/>
      <c r="J126" s="767"/>
      <c r="K126" s="767"/>
      <c r="L126" s="767"/>
      <c r="M126" s="767"/>
      <c r="N126" s="767"/>
      <c r="O126" s="767"/>
      <c r="P126" s="767"/>
      <c r="Q126" s="1056"/>
      <c r="R126" s="767"/>
      <c r="S126" s="767"/>
    </row>
    <row r="127" spans="1:19">
      <c r="A127" s="784">
        <f>A126+0.01</f>
        <v>18.010000000000002</v>
      </c>
      <c r="B127" s="608" t="s">
        <v>920</v>
      </c>
      <c r="C127" s="767">
        <f>SUM(M127:O127)</f>
        <v>0</v>
      </c>
      <c r="D127" s="767">
        <f>SUM(Q127:S127)</f>
        <v>0</v>
      </c>
      <c r="E127" s="767"/>
      <c r="F127" s="767"/>
      <c r="G127" s="767">
        <f>ROUND(SUM(C127:F127)/2,0)</f>
        <v>0</v>
      </c>
      <c r="H127" s="767"/>
      <c r="I127" s="767">
        <f t="shared" ref="I127:K128" si="82">(M127+Q127)/2</f>
        <v>0</v>
      </c>
      <c r="J127" s="767">
        <f t="shared" si="82"/>
        <v>0</v>
      </c>
      <c r="K127" s="767">
        <f t="shared" si="82"/>
        <v>0</v>
      </c>
      <c r="L127" s="767"/>
      <c r="M127" s="608">
        <v>0</v>
      </c>
      <c r="N127" s="608">
        <v>0</v>
      </c>
      <c r="O127" s="608">
        <v>0</v>
      </c>
      <c r="P127" s="767"/>
      <c r="Q127" s="608">
        <v>0</v>
      </c>
      <c r="R127" s="608">
        <v>0</v>
      </c>
      <c r="S127" s="608">
        <v>0</v>
      </c>
    </row>
    <row r="128" spans="1:19">
      <c r="A128" s="784">
        <f>A127+0.01</f>
        <v>18.020000000000003</v>
      </c>
      <c r="B128" s="608"/>
      <c r="C128" s="767">
        <f>SUM(M128:O128)</f>
        <v>0</v>
      </c>
      <c r="D128" s="767">
        <f>SUM(Q128:S128)</f>
        <v>0</v>
      </c>
      <c r="E128" s="767"/>
      <c r="F128" s="767"/>
      <c r="G128" s="767">
        <f>ROUND(SUM(C128:F128)/2,0)</f>
        <v>0</v>
      </c>
      <c r="H128" s="767"/>
      <c r="I128" s="767">
        <f t="shared" si="82"/>
        <v>0</v>
      </c>
      <c r="J128" s="767">
        <f t="shared" si="82"/>
        <v>0</v>
      </c>
      <c r="K128" s="767">
        <f t="shared" si="82"/>
        <v>0</v>
      </c>
      <c r="L128" s="767"/>
      <c r="M128" s="608"/>
      <c r="N128" s="608"/>
      <c r="O128" s="608"/>
      <c r="P128" s="767"/>
      <c r="Q128" s="608"/>
      <c r="R128" s="608"/>
      <c r="S128" s="608"/>
    </row>
    <row r="129" spans="1:19">
      <c r="A129" s="774">
        <f>INT(A128)+1</f>
        <v>19</v>
      </c>
      <c r="C129" s="767"/>
      <c r="D129" s="767"/>
      <c r="E129" s="767"/>
      <c r="F129" s="767"/>
      <c r="G129" s="767"/>
      <c r="H129" s="767"/>
      <c r="I129" s="767"/>
      <c r="J129" s="767"/>
      <c r="K129" s="767"/>
      <c r="L129" s="767"/>
      <c r="M129" s="767"/>
      <c r="N129" s="767"/>
      <c r="O129" s="767"/>
      <c r="P129" s="767"/>
      <c r="Q129" s="767"/>
      <c r="R129" s="767"/>
      <c r="S129" s="767"/>
    </row>
    <row r="130" spans="1:19">
      <c r="A130" s="774">
        <f>A129+1</f>
        <v>20</v>
      </c>
      <c r="B130" t="s">
        <v>730</v>
      </c>
      <c r="C130" s="769">
        <f>SUM(C127:C129)</f>
        <v>0</v>
      </c>
      <c r="D130" s="769">
        <f>SUM(D127:D129)</f>
        <v>0</v>
      </c>
      <c r="E130" s="769">
        <f>SUM(E127:E129)</f>
        <v>0</v>
      </c>
      <c r="F130" s="769">
        <f>SUM(F127:F129)</f>
        <v>0</v>
      </c>
      <c r="G130" s="769">
        <f>SUM(G127:G129)</f>
        <v>0</v>
      </c>
      <c r="H130" s="767"/>
      <c r="I130" s="769">
        <f>SUM(I127:I129)</f>
        <v>0</v>
      </c>
      <c r="J130" s="769">
        <f>SUM(J127:J129)</f>
        <v>0</v>
      </c>
      <c r="K130" s="769">
        <f>SUM(K127:K129)</f>
        <v>0</v>
      </c>
      <c r="L130" s="767"/>
      <c r="M130" s="769">
        <f>SUM(M127:M129)</f>
        <v>0</v>
      </c>
      <c r="N130" s="769">
        <f>SUM(N127:N129)</f>
        <v>0</v>
      </c>
      <c r="O130" s="769">
        <f>SUM(O127:O129)</f>
        <v>0</v>
      </c>
      <c r="P130" s="767"/>
      <c r="Q130" s="769">
        <f>SUM(Q127:Q129)</f>
        <v>0</v>
      </c>
      <c r="R130" s="769">
        <f>SUM(R127:R129)</f>
        <v>0</v>
      </c>
      <c r="S130" s="769">
        <f>SUM(S127:S129)</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28"/>
  <sheetViews>
    <sheetView tabSelected="1" view="pageBreakPreview" topLeftCell="A46" zoomScale="85" zoomScaleNormal="100" zoomScaleSheetLayoutView="85" workbookViewId="0">
      <selection activeCell="D3" sqref="D3"/>
    </sheetView>
  </sheetViews>
  <sheetFormatPr defaultRowHeight="12.75"/>
  <cols>
    <col min="1" max="1" width="7" bestFit="1" customWidth="1"/>
    <col min="2" max="2" width="54.5703125" bestFit="1" customWidth="1"/>
    <col min="3" max="3" width="13.42578125" bestFit="1" customWidth="1"/>
    <col min="4" max="4" width="12.85546875" bestFit="1" customWidth="1"/>
    <col min="5" max="6" width="17" customWidth="1"/>
    <col min="7" max="7" width="15.42578125" bestFit="1" customWidth="1"/>
    <col min="8" max="8" width="3" customWidth="1"/>
    <col min="9" max="9" width="13.140625" bestFit="1" customWidth="1"/>
    <col min="10" max="10" width="15" bestFit="1" customWidth="1"/>
    <col min="11" max="11" width="13.5703125" bestFit="1" customWidth="1"/>
    <col min="12" max="12" width="3.85546875" customWidth="1"/>
    <col min="13" max="13" width="13.140625" bestFit="1" customWidth="1"/>
    <col min="14" max="14" width="15" bestFit="1" customWidth="1"/>
    <col min="15" max="15" width="13.5703125" bestFit="1" customWidth="1"/>
    <col min="16" max="16" width="3.42578125" customWidth="1"/>
    <col min="17" max="17" width="13.140625" bestFit="1" customWidth="1"/>
    <col min="18" max="18" width="15" bestFit="1" customWidth="1"/>
    <col min="19" max="19" width="13.5703125" bestFit="1" customWidth="1"/>
  </cols>
  <sheetData>
    <row r="1" spans="1:19">
      <c r="A1" s="775"/>
      <c r="B1" s="816" t="str">
        <f>TCOS!F9</f>
        <v>WHEELING POWER COMPANY</v>
      </c>
      <c r="C1" s="760"/>
      <c r="D1" s="760"/>
      <c r="E1" s="760"/>
      <c r="F1" s="760"/>
      <c r="M1" s="760"/>
      <c r="N1" s="760"/>
      <c r="P1" s="760"/>
      <c r="Q1" s="760"/>
      <c r="R1" s="760"/>
    </row>
    <row r="2" spans="1:19">
      <c r="A2" s="775"/>
      <c r="B2" s="158" t="s">
        <v>812</v>
      </c>
      <c r="C2" s="760"/>
      <c r="D2" s="760"/>
      <c r="E2" s="760"/>
      <c r="F2" s="760"/>
      <c r="M2" s="760"/>
      <c r="N2" s="760"/>
      <c r="P2" s="760"/>
      <c r="Q2" s="760"/>
      <c r="R2" s="760"/>
    </row>
    <row r="3" spans="1:19">
      <c r="A3" s="775"/>
      <c r="B3" s="158" t="str">
        <f>"PERIOD ENDED DECEMBER 31, "&amp;TCOS!L4</f>
        <v>PERIOD ENDED DECEMBER 31, 2025</v>
      </c>
      <c r="C3" s="760"/>
      <c r="D3" s="760"/>
      <c r="E3" s="760"/>
      <c r="F3" s="760"/>
      <c r="G3" s="760"/>
      <c r="H3" s="760"/>
      <c r="I3" s="760"/>
      <c r="J3" s="760"/>
      <c r="K3" s="760"/>
      <c r="L3" s="760"/>
      <c r="M3" s="760"/>
      <c r="N3" s="760"/>
      <c r="O3" s="760"/>
      <c r="P3" s="760"/>
      <c r="Q3" s="760"/>
      <c r="R3" s="760"/>
      <c r="S3" s="760"/>
    </row>
    <row r="4" spans="1:19">
      <c r="A4" s="775"/>
      <c r="B4" s="766"/>
      <c r="C4" s="760"/>
      <c r="D4" s="760"/>
      <c r="E4" s="760"/>
      <c r="F4" s="760"/>
      <c r="G4" s="1" t="s">
        <v>731</v>
      </c>
      <c r="H4" s="760"/>
      <c r="I4" s="760"/>
      <c r="J4" s="760"/>
      <c r="K4" s="760"/>
      <c r="L4" s="760"/>
      <c r="M4" s="760"/>
      <c r="N4" s="760"/>
      <c r="O4" s="760"/>
      <c r="P4" s="760"/>
      <c r="Q4" s="760"/>
      <c r="R4" s="760"/>
      <c r="S4" s="760"/>
    </row>
    <row r="5" spans="1:19">
      <c r="A5" s="775"/>
      <c r="B5" s="760"/>
      <c r="C5" s="760"/>
      <c r="D5" s="760"/>
      <c r="E5" s="760"/>
      <c r="F5" s="760"/>
      <c r="G5" s="760"/>
      <c r="H5" s="760"/>
      <c r="I5" s="760"/>
      <c r="J5" s="760"/>
      <c r="K5" s="760"/>
      <c r="L5" s="760"/>
      <c r="M5" s="760"/>
      <c r="N5" s="760"/>
      <c r="O5" s="760"/>
      <c r="P5" s="760"/>
      <c r="Q5" s="760"/>
      <c r="R5" s="760"/>
      <c r="S5" s="760"/>
    </row>
    <row r="6" spans="1:19">
      <c r="A6" s="775"/>
      <c r="B6" s="760"/>
      <c r="C6" s="760"/>
      <c r="D6" s="760"/>
      <c r="E6" s="760"/>
      <c r="F6" s="760"/>
      <c r="G6" s="760"/>
      <c r="H6" s="1"/>
      <c r="I6" s="1"/>
      <c r="J6" s="1"/>
      <c r="K6" s="1"/>
      <c r="L6" s="1"/>
      <c r="M6" s="760"/>
      <c r="N6" s="760"/>
      <c r="O6" s="760"/>
      <c r="P6" s="760"/>
      <c r="Q6" s="760"/>
      <c r="R6" s="760"/>
      <c r="S6" s="760"/>
    </row>
    <row r="7" spans="1:19">
      <c r="A7" s="775"/>
      <c r="B7" s="760"/>
      <c r="C7" s="760"/>
      <c r="D7" s="760"/>
      <c r="E7" s="760"/>
      <c r="F7" s="760"/>
      <c r="G7" s="760"/>
      <c r="H7" s="760"/>
      <c r="I7" s="760"/>
      <c r="J7" s="760"/>
      <c r="K7" s="760"/>
      <c r="L7" s="760"/>
      <c r="M7" s="760"/>
      <c r="N7" s="760"/>
      <c r="O7" s="760"/>
      <c r="P7" s="760"/>
      <c r="Q7" s="760"/>
      <c r="R7" s="760"/>
      <c r="S7" s="760"/>
    </row>
    <row r="8" spans="1:19">
      <c r="A8" s="775"/>
      <c r="B8" s="761" t="s">
        <v>691</v>
      </c>
      <c r="C8" s="761" t="s">
        <v>692</v>
      </c>
      <c r="D8" s="761" t="s">
        <v>693</v>
      </c>
      <c r="E8" s="761" t="s">
        <v>694</v>
      </c>
      <c r="F8" s="761" t="s">
        <v>695</v>
      </c>
      <c r="G8" s="761" t="s">
        <v>696</v>
      </c>
      <c r="H8" s="761"/>
      <c r="I8" s="761" t="s">
        <v>697</v>
      </c>
      <c r="J8" s="761" t="s">
        <v>698</v>
      </c>
      <c r="K8" s="761" t="s">
        <v>699</v>
      </c>
      <c r="L8" s="761"/>
      <c r="M8" s="761" t="s">
        <v>700</v>
      </c>
      <c r="N8" s="761" t="s">
        <v>701</v>
      </c>
      <c r="O8" s="761" t="s">
        <v>702</v>
      </c>
      <c r="P8" s="760"/>
      <c r="Q8" s="761" t="s">
        <v>703</v>
      </c>
      <c r="R8" s="761" t="s">
        <v>704</v>
      </c>
      <c r="S8" s="761" t="s">
        <v>705</v>
      </c>
    </row>
    <row r="9" spans="1:19">
      <c r="A9" s="775"/>
      <c r="B9" s="760"/>
      <c r="C9" s="760"/>
      <c r="D9" s="760"/>
      <c r="E9" s="760"/>
      <c r="F9" s="760"/>
      <c r="G9" s="760"/>
      <c r="H9" s="760"/>
      <c r="I9" s="760"/>
      <c r="J9" s="760"/>
      <c r="K9" s="760"/>
      <c r="L9" s="760"/>
      <c r="M9" s="760"/>
      <c r="N9" s="760"/>
      <c r="O9" s="760"/>
      <c r="P9" s="760"/>
      <c r="Q9" s="760"/>
      <c r="R9" s="760"/>
      <c r="S9" s="760"/>
    </row>
    <row r="10" spans="1:19">
      <c r="A10" s="775"/>
      <c r="B10" s="760"/>
      <c r="C10" s="762" t="s">
        <v>706</v>
      </c>
      <c r="D10" s="762"/>
      <c r="E10" s="763" t="s">
        <v>707</v>
      </c>
      <c r="F10" s="762"/>
      <c r="G10" s="1" t="s">
        <v>708</v>
      </c>
      <c r="H10" s="1"/>
      <c r="I10" s="762" t="s">
        <v>709</v>
      </c>
      <c r="J10" s="762"/>
      <c r="K10" s="762"/>
      <c r="L10" s="1"/>
      <c r="M10" s="764" t="str">
        <f>"FUNCTIONALIZATION 12/31/"&amp;TCOS!L4-1</f>
        <v>FUNCTIONALIZATION 12/31/2024</v>
      </c>
      <c r="N10" s="762"/>
      <c r="O10" s="762"/>
      <c r="P10" s="760"/>
      <c r="Q10" s="764" t="str">
        <f>"FUNCTIONALIZATION 12/31/"&amp;TCOS!L4</f>
        <v>FUNCTIONALIZATION 12/31/2025</v>
      </c>
      <c r="R10" s="762"/>
      <c r="S10" s="762"/>
    </row>
    <row r="11" spans="1:19">
      <c r="A11" s="775"/>
      <c r="B11" s="760"/>
      <c r="C11" s="765"/>
      <c r="D11" s="765"/>
      <c r="E11" s="760"/>
      <c r="F11" s="760"/>
      <c r="G11" s="1" t="s">
        <v>710</v>
      </c>
      <c r="H11" s="1"/>
      <c r="I11" s="765"/>
      <c r="J11" s="765"/>
      <c r="K11" s="765"/>
      <c r="L11" s="1"/>
      <c r="M11" s="765"/>
      <c r="N11" s="765"/>
      <c r="O11" s="765"/>
      <c r="P11" s="760"/>
      <c r="Q11" s="765"/>
      <c r="R11" s="765"/>
      <c r="S11" s="765"/>
    </row>
    <row r="12" spans="1:19">
      <c r="A12" s="775"/>
      <c r="B12" s="760"/>
      <c r="C12" s="1" t="s">
        <v>711</v>
      </c>
      <c r="D12" s="1" t="s">
        <v>711</v>
      </c>
      <c r="E12" s="1" t="s">
        <v>711</v>
      </c>
      <c r="F12" s="1" t="s">
        <v>711</v>
      </c>
      <c r="G12" s="1" t="s">
        <v>712</v>
      </c>
      <c r="H12" s="1"/>
      <c r="I12" s="760"/>
      <c r="J12" s="760"/>
      <c r="K12" s="760"/>
      <c r="L12" s="1"/>
      <c r="M12" s="760"/>
      <c r="N12" s="760"/>
      <c r="O12" s="760"/>
      <c r="P12" s="760"/>
      <c r="Q12" s="760"/>
      <c r="R12" s="760"/>
      <c r="S12" s="760"/>
    </row>
    <row r="13" spans="1:19">
      <c r="A13" s="775"/>
      <c r="B13" s="761" t="s">
        <v>713</v>
      </c>
      <c r="C13" s="761" t="str">
        <f>"OF 12-31-"&amp;TCOS!L4-1</f>
        <v>OF 12-31-2024</v>
      </c>
      <c r="D13" s="761" t="str">
        <f>"OF 12-31-"&amp;TCOS!L4</f>
        <v>OF 12-31-2025</v>
      </c>
      <c r="E13" s="761" t="str">
        <f>"OF 12-31-"&amp;TCOS!L4-1</f>
        <v>OF 12-31-2024</v>
      </c>
      <c r="F13" s="761" t="str">
        <f>"OF 12-31-"&amp;TCOS!L4</f>
        <v>OF 12-31-2025</v>
      </c>
      <c r="G13" s="761" t="s">
        <v>714</v>
      </c>
      <c r="H13" s="761"/>
      <c r="I13" s="761" t="s">
        <v>715</v>
      </c>
      <c r="J13" s="761" t="s">
        <v>716</v>
      </c>
      <c r="K13" s="761" t="s">
        <v>717</v>
      </c>
      <c r="L13" s="761"/>
      <c r="M13" s="761" t="s">
        <v>715</v>
      </c>
      <c r="N13" s="761" t="s">
        <v>716</v>
      </c>
      <c r="O13" s="761" t="s">
        <v>717</v>
      </c>
      <c r="P13" s="760"/>
      <c r="Q13" s="761" t="s">
        <v>715</v>
      </c>
      <c r="R13" s="761" t="s">
        <v>716</v>
      </c>
      <c r="S13" s="761" t="s">
        <v>717</v>
      </c>
    </row>
    <row r="14" spans="1:19">
      <c r="A14" s="775"/>
      <c r="B14" s="760"/>
      <c r="C14" s="760"/>
      <c r="D14" s="760"/>
      <c r="E14" s="760"/>
      <c r="F14" s="760"/>
      <c r="G14" s="760"/>
      <c r="H14" s="760"/>
      <c r="I14" s="760"/>
      <c r="J14" s="760"/>
      <c r="K14" s="760"/>
      <c r="L14" s="760"/>
      <c r="M14" s="760"/>
      <c r="N14" s="760"/>
      <c r="O14" s="760"/>
      <c r="P14" s="760"/>
      <c r="Q14" s="760"/>
      <c r="R14" s="760"/>
      <c r="S14" s="760"/>
    </row>
    <row r="15" spans="1:19">
      <c r="A15" s="597">
        <v>1</v>
      </c>
      <c r="B15" s="767" t="s">
        <v>732</v>
      </c>
      <c r="C15" s="767"/>
      <c r="D15" s="767"/>
      <c r="E15" s="767"/>
      <c r="F15" s="768"/>
      <c r="G15" s="767"/>
      <c r="H15" s="767"/>
      <c r="I15" s="767"/>
      <c r="J15" s="767"/>
      <c r="K15" s="767"/>
      <c r="L15" s="767"/>
      <c r="M15" s="767"/>
      <c r="N15" s="767"/>
      <c r="O15" s="767"/>
      <c r="P15" s="767"/>
      <c r="Q15" s="767"/>
      <c r="R15" s="767"/>
      <c r="S15" s="767"/>
    </row>
    <row r="16" spans="1:19">
      <c r="A16" s="597"/>
      <c r="B16" s="767"/>
      <c r="C16" s="767"/>
      <c r="D16" s="767"/>
      <c r="E16" s="767"/>
      <c r="F16" s="767"/>
      <c r="G16" s="767"/>
      <c r="H16" s="767"/>
      <c r="I16" s="767"/>
      <c r="J16" s="767"/>
      <c r="K16" s="767"/>
      <c r="L16" s="767"/>
      <c r="M16" s="767"/>
      <c r="N16" s="767"/>
      <c r="O16" s="767"/>
      <c r="P16" s="767"/>
      <c r="Q16" s="767"/>
      <c r="R16" s="767"/>
      <c r="S16" s="767"/>
    </row>
    <row r="17" spans="1:19">
      <c r="A17" s="784">
        <f>2+0.01</f>
        <v>2.0099999999999998</v>
      </c>
      <c r="B17" s="608" t="s">
        <v>1317</v>
      </c>
      <c r="C17" s="767">
        <f t="shared" ref="C17:C59" si="0">SUM(M17:O17)</f>
        <v>0</v>
      </c>
      <c r="D17" s="767">
        <f t="shared" ref="D17:D59" si="1">SUM(Q17:S17)</f>
        <v>234789</v>
      </c>
      <c r="E17" s="767"/>
      <c r="F17" s="767"/>
      <c r="G17" s="767">
        <f t="shared" ref="G17:G59" si="2">ROUND(SUM(C17:F17)/2,0)</f>
        <v>117395</v>
      </c>
      <c r="H17" s="767"/>
      <c r="I17" s="767">
        <f t="shared" ref="I17:I59" si="3">(M17+Q17)/2</f>
        <v>0</v>
      </c>
      <c r="J17" s="767">
        <f t="shared" ref="J17:J59" si="4">(N17+R17)/2</f>
        <v>117394.5</v>
      </c>
      <c r="K17" s="767">
        <f t="shared" ref="K17:K59" si="5">(O17+S17)/2</f>
        <v>0</v>
      </c>
      <c r="L17" s="767"/>
      <c r="M17" s="608"/>
      <c r="N17" s="608"/>
      <c r="O17" s="608"/>
      <c r="P17" s="767"/>
      <c r="Q17" s="608"/>
      <c r="R17" s="608">
        <v>234789</v>
      </c>
      <c r="S17" s="608"/>
    </row>
    <row r="18" spans="1:19">
      <c r="A18" s="784">
        <f t="shared" ref="A18:A71" si="6">A17+0.01</f>
        <v>2.0199999999999996</v>
      </c>
      <c r="B18" s="608" t="s">
        <v>1165</v>
      </c>
      <c r="C18" s="767">
        <f t="shared" ref="C18" si="7">SUM(M18:O18)</f>
        <v>2.0000000000000018E-2</v>
      </c>
      <c r="D18" s="767">
        <f t="shared" ref="D18" si="8">SUM(Q18:S18)</f>
        <v>0.49</v>
      </c>
      <c r="E18" s="767"/>
      <c r="F18" s="767"/>
      <c r="G18" s="767">
        <f t="shared" ref="G18" si="9">ROUND(SUM(C18:F18)/2,0)</f>
        <v>0</v>
      </c>
      <c r="H18" s="767"/>
      <c r="I18" s="767">
        <f t="shared" ref="I18" si="10">(M18+Q18)/2</f>
        <v>-0.105</v>
      </c>
      <c r="J18" s="767">
        <f t="shared" ref="J18" si="11">(N18+R18)/2</f>
        <v>0.23499999999999999</v>
      </c>
      <c r="K18" s="767">
        <f t="shared" ref="K18" si="12">(O18+S18)/2</f>
        <v>0.125</v>
      </c>
      <c r="L18" s="767"/>
      <c r="M18" s="608">
        <v>-0.21</v>
      </c>
      <c r="N18" s="608">
        <v>-0.02</v>
      </c>
      <c r="O18" s="608">
        <v>0.25</v>
      </c>
      <c r="P18" s="767"/>
      <c r="Q18" s="608"/>
      <c r="R18" s="608">
        <v>0.49</v>
      </c>
      <c r="S18" s="608"/>
    </row>
    <row r="19" spans="1:19">
      <c r="A19" s="784">
        <f t="shared" si="6"/>
        <v>2.0299999999999994</v>
      </c>
      <c r="B19" s="608" t="s">
        <v>1166</v>
      </c>
      <c r="C19" s="767">
        <f t="shared" si="0"/>
        <v>1575303.35</v>
      </c>
      <c r="D19" s="767">
        <f t="shared" si="1"/>
        <v>1591546.35</v>
      </c>
      <c r="E19" s="767"/>
      <c r="F19" s="767"/>
      <c r="G19" s="767">
        <f t="shared" si="2"/>
        <v>1583425</v>
      </c>
      <c r="H19" s="767"/>
      <c r="I19" s="767">
        <f t="shared" si="3"/>
        <v>465158.22000000003</v>
      </c>
      <c r="J19" s="767">
        <f t="shared" si="4"/>
        <v>220196.61000000002</v>
      </c>
      <c r="K19" s="767">
        <f t="shared" si="5"/>
        <v>898070.02</v>
      </c>
      <c r="L19" s="767"/>
      <c r="M19" s="608">
        <v>462772.72000000003</v>
      </c>
      <c r="N19" s="608">
        <v>219067.11000000002</v>
      </c>
      <c r="O19" s="608">
        <v>893463.52</v>
      </c>
      <c r="P19" s="767"/>
      <c r="Q19" s="608">
        <v>467543.72000000003</v>
      </c>
      <c r="R19" s="608">
        <v>221326.11000000002</v>
      </c>
      <c r="S19" s="608">
        <v>902676.52</v>
      </c>
    </row>
    <row r="20" spans="1:19">
      <c r="A20" s="784">
        <f t="shared" si="6"/>
        <v>2.0399999999999991</v>
      </c>
      <c r="B20" s="608" t="s">
        <v>1167</v>
      </c>
      <c r="C20" s="767">
        <f t="shared" si="0"/>
        <v>0</v>
      </c>
      <c r="D20" s="767">
        <f t="shared" si="1"/>
        <v>0</v>
      </c>
      <c r="E20" s="767"/>
      <c r="F20" s="767"/>
      <c r="G20" s="767">
        <f t="shared" si="2"/>
        <v>0</v>
      </c>
      <c r="H20" s="767"/>
      <c r="I20" s="767">
        <f t="shared" si="3"/>
        <v>0</v>
      </c>
      <c r="J20" s="767">
        <f t="shared" si="4"/>
        <v>0</v>
      </c>
      <c r="K20" s="767">
        <f t="shared" si="5"/>
        <v>0</v>
      </c>
      <c r="L20" s="767"/>
      <c r="M20" s="608">
        <v>0</v>
      </c>
      <c r="N20" s="608">
        <v>0</v>
      </c>
      <c r="O20" s="608">
        <v>0</v>
      </c>
      <c r="P20" s="767"/>
      <c r="Q20" s="608"/>
      <c r="R20" s="608"/>
      <c r="S20" s="608"/>
    </row>
    <row r="21" spans="1:19">
      <c r="A21" s="784">
        <f t="shared" si="6"/>
        <v>2.0499999999999989</v>
      </c>
      <c r="B21" s="608" t="s">
        <v>1168</v>
      </c>
      <c r="C21" s="767">
        <f t="shared" si="0"/>
        <v>0</v>
      </c>
      <c r="D21" s="767">
        <f t="shared" si="1"/>
        <v>0</v>
      </c>
      <c r="E21" s="767"/>
      <c r="F21" s="767"/>
      <c r="G21" s="767">
        <f t="shared" si="2"/>
        <v>0</v>
      </c>
      <c r="H21" s="767"/>
      <c r="I21" s="767">
        <f t="shared" si="3"/>
        <v>0</v>
      </c>
      <c r="J21" s="767">
        <f t="shared" si="4"/>
        <v>0</v>
      </c>
      <c r="K21" s="767">
        <f t="shared" si="5"/>
        <v>0</v>
      </c>
      <c r="L21" s="767"/>
      <c r="M21" s="608">
        <v>0</v>
      </c>
      <c r="N21" s="608"/>
      <c r="O21" s="608">
        <v>0</v>
      </c>
      <c r="P21" s="767"/>
      <c r="Q21" s="608"/>
      <c r="R21" s="608"/>
      <c r="S21" s="608"/>
    </row>
    <row r="22" spans="1:19">
      <c r="A22" s="784">
        <f t="shared" si="6"/>
        <v>2.0599999999999987</v>
      </c>
      <c r="B22" s="608" t="s">
        <v>1169</v>
      </c>
      <c r="C22" s="767">
        <f t="shared" si="0"/>
        <v>150257.82</v>
      </c>
      <c r="D22" s="767">
        <f t="shared" si="1"/>
        <v>137380.89000000001</v>
      </c>
      <c r="E22" s="767"/>
      <c r="F22" s="767"/>
      <c r="G22" s="767">
        <f t="shared" si="2"/>
        <v>143819</v>
      </c>
      <c r="H22" s="767"/>
      <c r="I22" s="767">
        <f t="shared" si="3"/>
        <v>0</v>
      </c>
      <c r="J22" s="767">
        <f t="shared" si="4"/>
        <v>0</v>
      </c>
      <c r="K22" s="767">
        <f t="shared" si="5"/>
        <v>143819.35500000001</v>
      </c>
      <c r="L22" s="767"/>
      <c r="M22" s="608"/>
      <c r="N22" s="608"/>
      <c r="O22" s="608">
        <v>150257.82</v>
      </c>
      <c r="P22" s="767"/>
      <c r="Q22" s="608"/>
      <c r="R22" s="608"/>
      <c r="S22" s="608">
        <v>137380.89000000001</v>
      </c>
    </row>
    <row r="23" spans="1:19">
      <c r="A23" s="784">
        <f t="shared" si="6"/>
        <v>2.0699999999999985</v>
      </c>
      <c r="B23" s="608" t="s">
        <v>1170</v>
      </c>
      <c r="C23" s="767">
        <f t="shared" si="0"/>
        <v>0</v>
      </c>
      <c r="D23" s="767">
        <f t="shared" si="1"/>
        <v>0</v>
      </c>
      <c r="E23" s="767"/>
      <c r="F23" s="767"/>
      <c r="G23" s="767">
        <f t="shared" si="2"/>
        <v>0</v>
      </c>
      <c r="H23" s="767"/>
      <c r="I23" s="767">
        <f t="shared" si="3"/>
        <v>0</v>
      </c>
      <c r="J23" s="767">
        <f t="shared" si="4"/>
        <v>0</v>
      </c>
      <c r="K23" s="767">
        <f t="shared" si="5"/>
        <v>0</v>
      </c>
      <c r="L23" s="767"/>
      <c r="M23" s="608"/>
      <c r="N23" s="608"/>
      <c r="O23" s="608"/>
      <c r="P23" s="767"/>
      <c r="Q23" s="608"/>
      <c r="R23" s="608"/>
      <c r="S23" s="608"/>
    </row>
    <row r="24" spans="1:19">
      <c r="A24" s="784">
        <f t="shared" si="6"/>
        <v>2.0799999999999983</v>
      </c>
      <c r="B24" s="608" t="s">
        <v>1171</v>
      </c>
      <c r="C24" s="767">
        <f t="shared" si="0"/>
        <v>-66074.12</v>
      </c>
      <c r="D24" s="767">
        <f t="shared" si="1"/>
        <v>-66561.62</v>
      </c>
      <c r="E24" s="767"/>
      <c r="F24" s="767"/>
      <c r="G24" s="767">
        <f t="shared" si="2"/>
        <v>-66318</v>
      </c>
      <c r="H24" s="767"/>
      <c r="I24" s="767">
        <f t="shared" si="3"/>
        <v>-26624.21</v>
      </c>
      <c r="J24" s="767">
        <f t="shared" si="4"/>
        <v>-3592.61</v>
      </c>
      <c r="K24" s="767">
        <f t="shared" si="5"/>
        <v>-36101.050000000003</v>
      </c>
      <c r="L24" s="767"/>
      <c r="M24" s="608">
        <v>-26731.07</v>
      </c>
      <c r="N24" s="608">
        <v>-3610.92</v>
      </c>
      <c r="O24" s="608">
        <v>-35732.129999999997</v>
      </c>
      <c r="P24" s="767"/>
      <c r="Q24" s="608">
        <v>-26517.350000000002</v>
      </c>
      <c r="R24" s="608">
        <v>-3574.3</v>
      </c>
      <c r="S24" s="608">
        <v>-36469.97</v>
      </c>
    </row>
    <row r="25" spans="1:19">
      <c r="A25" s="784">
        <f t="shared" si="6"/>
        <v>2.0899999999999981</v>
      </c>
      <c r="B25" s="608" t="s">
        <v>1172</v>
      </c>
      <c r="C25" s="767">
        <f t="shared" si="0"/>
        <v>184268.72</v>
      </c>
      <c r="D25" s="767">
        <f t="shared" si="1"/>
        <v>151754.81000000003</v>
      </c>
      <c r="E25" s="767"/>
      <c r="F25" s="767"/>
      <c r="G25" s="767">
        <f t="shared" si="2"/>
        <v>168012</v>
      </c>
      <c r="H25" s="767"/>
      <c r="I25" s="767">
        <f t="shared" si="3"/>
        <v>154455.64000000001</v>
      </c>
      <c r="J25" s="767">
        <f t="shared" si="4"/>
        <v>0</v>
      </c>
      <c r="K25" s="767">
        <f t="shared" si="5"/>
        <v>13556.125</v>
      </c>
      <c r="L25" s="767"/>
      <c r="M25" s="608">
        <v>169974.45</v>
      </c>
      <c r="N25" s="608"/>
      <c r="O25" s="608">
        <v>14294.27</v>
      </c>
      <c r="P25" s="767"/>
      <c r="Q25" s="608">
        <v>138936.83000000002</v>
      </c>
      <c r="R25" s="608"/>
      <c r="S25" s="608">
        <v>12817.98</v>
      </c>
    </row>
    <row r="26" spans="1:19">
      <c r="A26" s="784">
        <f t="shared" si="6"/>
        <v>2.0999999999999979</v>
      </c>
      <c r="B26" s="608" t="s">
        <v>1173</v>
      </c>
      <c r="C26" s="767">
        <f t="shared" si="0"/>
        <v>398.52</v>
      </c>
      <c r="D26" s="767">
        <f t="shared" si="1"/>
        <v>1135.45</v>
      </c>
      <c r="E26" s="767"/>
      <c r="F26" s="767"/>
      <c r="G26" s="767">
        <f t="shared" si="2"/>
        <v>767</v>
      </c>
      <c r="H26" s="767"/>
      <c r="I26" s="767">
        <f t="shared" si="3"/>
        <v>766.98500000000001</v>
      </c>
      <c r="J26" s="767">
        <f t="shared" si="4"/>
        <v>0</v>
      </c>
      <c r="K26" s="767">
        <f t="shared" si="5"/>
        <v>0</v>
      </c>
      <c r="L26" s="767"/>
      <c r="M26" s="608">
        <v>398.52</v>
      </c>
      <c r="N26" s="608"/>
      <c r="O26" s="608"/>
      <c r="P26" s="767"/>
      <c r="Q26" s="608">
        <v>1135.45</v>
      </c>
      <c r="R26" s="608"/>
      <c r="S26" s="608"/>
    </row>
    <row r="27" spans="1:19">
      <c r="A27" s="784">
        <f t="shared" si="6"/>
        <v>2.1099999999999977</v>
      </c>
      <c r="B27" s="608" t="s">
        <v>1174</v>
      </c>
      <c r="C27" s="767">
        <f t="shared" si="0"/>
        <v>2203.7399999999998</v>
      </c>
      <c r="D27" s="767">
        <f t="shared" si="1"/>
        <v>2436.63</v>
      </c>
      <c r="E27" s="767"/>
      <c r="F27" s="767"/>
      <c r="G27" s="767">
        <f t="shared" si="2"/>
        <v>2320</v>
      </c>
      <c r="H27" s="767"/>
      <c r="I27" s="767">
        <f t="shared" si="3"/>
        <v>1881.7049999999999</v>
      </c>
      <c r="J27" s="767">
        <f t="shared" si="4"/>
        <v>0</v>
      </c>
      <c r="K27" s="767">
        <f t="shared" si="5"/>
        <v>438.48</v>
      </c>
      <c r="L27" s="767"/>
      <c r="M27" s="608">
        <v>1614.27</v>
      </c>
      <c r="N27" s="608"/>
      <c r="O27" s="608">
        <v>589.47</v>
      </c>
      <c r="P27" s="767"/>
      <c r="Q27" s="608">
        <v>2149.14</v>
      </c>
      <c r="R27" s="608"/>
      <c r="S27" s="608">
        <v>287.49</v>
      </c>
    </row>
    <row r="28" spans="1:19">
      <c r="A28" s="784">
        <f t="shared" si="6"/>
        <v>2.1199999999999974</v>
      </c>
      <c r="B28" s="608" t="s">
        <v>1175</v>
      </c>
      <c r="C28" s="767">
        <f t="shared" si="0"/>
        <v>0.08</v>
      </c>
      <c r="D28" s="767">
        <f t="shared" si="1"/>
        <v>0.08</v>
      </c>
      <c r="E28" s="767"/>
      <c r="F28" s="767"/>
      <c r="G28" s="767">
        <f t="shared" si="2"/>
        <v>0</v>
      </c>
      <c r="H28" s="767"/>
      <c r="I28" s="767">
        <f t="shared" si="3"/>
        <v>0.08</v>
      </c>
      <c r="J28" s="767">
        <f t="shared" si="4"/>
        <v>0</v>
      </c>
      <c r="K28" s="767">
        <f t="shared" si="5"/>
        <v>0</v>
      </c>
      <c r="L28" s="767"/>
      <c r="M28" s="608">
        <v>0.08</v>
      </c>
      <c r="N28" s="608"/>
      <c r="O28" s="608"/>
      <c r="P28" s="767"/>
      <c r="Q28" s="608">
        <v>0.08</v>
      </c>
      <c r="R28" s="608"/>
      <c r="S28" s="608"/>
    </row>
    <row r="29" spans="1:19">
      <c r="A29" s="784">
        <f t="shared" si="6"/>
        <v>2.1299999999999972</v>
      </c>
      <c r="B29" s="608" t="s">
        <v>1176</v>
      </c>
      <c r="C29" s="767">
        <f t="shared" si="0"/>
        <v>-0.01</v>
      </c>
      <c r="D29" s="767">
        <f t="shared" si="1"/>
        <v>-0.01</v>
      </c>
      <c r="E29" s="767"/>
      <c r="F29" s="767"/>
      <c r="G29" s="767">
        <f t="shared" si="2"/>
        <v>0</v>
      </c>
      <c r="H29" s="767"/>
      <c r="I29" s="767">
        <f t="shared" si="3"/>
        <v>0</v>
      </c>
      <c r="J29" s="767">
        <f t="shared" si="4"/>
        <v>0</v>
      </c>
      <c r="K29" s="767">
        <f t="shared" si="5"/>
        <v>-0.01</v>
      </c>
      <c r="L29" s="767"/>
      <c r="M29" s="608"/>
      <c r="N29" s="608"/>
      <c r="O29" s="608">
        <v>-0.01</v>
      </c>
      <c r="P29" s="767"/>
      <c r="Q29" s="608"/>
      <c r="R29" s="608"/>
      <c r="S29" s="608">
        <v>-0.01</v>
      </c>
    </row>
    <row r="30" spans="1:19">
      <c r="A30" s="784">
        <f t="shared" si="6"/>
        <v>2.139999999999997</v>
      </c>
      <c r="B30" s="608" t="s">
        <v>1177</v>
      </c>
      <c r="C30" s="767">
        <f t="shared" si="0"/>
        <v>36684.720000000001</v>
      </c>
      <c r="D30" s="767">
        <f t="shared" si="1"/>
        <v>29995.940000000002</v>
      </c>
      <c r="E30" s="767"/>
      <c r="F30" s="767"/>
      <c r="G30" s="767">
        <f t="shared" si="2"/>
        <v>33340</v>
      </c>
      <c r="H30" s="767"/>
      <c r="I30" s="767">
        <f t="shared" si="3"/>
        <v>0</v>
      </c>
      <c r="J30" s="767">
        <f t="shared" si="4"/>
        <v>0</v>
      </c>
      <c r="K30" s="767">
        <f t="shared" si="5"/>
        <v>33340.33</v>
      </c>
      <c r="L30" s="767"/>
      <c r="M30" s="608"/>
      <c r="N30" s="608"/>
      <c r="O30" s="608">
        <v>36684.720000000001</v>
      </c>
      <c r="P30" s="767"/>
      <c r="Q30" s="608"/>
      <c r="R30" s="608"/>
      <c r="S30" s="608">
        <v>29995.940000000002</v>
      </c>
    </row>
    <row r="31" spans="1:19">
      <c r="A31" s="784">
        <f t="shared" si="6"/>
        <v>2.1499999999999968</v>
      </c>
      <c r="B31" s="608" t="s">
        <v>1178</v>
      </c>
      <c r="C31" s="767">
        <f t="shared" si="0"/>
        <v>282019.05000000005</v>
      </c>
      <c r="D31" s="767">
        <f t="shared" si="1"/>
        <v>578894.94000000006</v>
      </c>
      <c r="E31" s="767"/>
      <c r="F31" s="767"/>
      <c r="G31" s="767">
        <f t="shared" si="2"/>
        <v>430457</v>
      </c>
      <c r="H31" s="767"/>
      <c r="I31" s="767">
        <f t="shared" si="3"/>
        <v>313702.19</v>
      </c>
      <c r="J31" s="767">
        <f t="shared" si="4"/>
        <v>0.09</v>
      </c>
      <c r="K31" s="767">
        <f t="shared" si="5"/>
        <v>116754.71500000001</v>
      </c>
      <c r="L31" s="767"/>
      <c r="M31" s="608">
        <v>213593.61000000002</v>
      </c>
      <c r="N31" s="608">
        <v>0.09</v>
      </c>
      <c r="O31" s="608">
        <v>68425.350000000006</v>
      </c>
      <c r="P31" s="767"/>
      <c r="Q31" s="608">
        <v>413810.77</v>
      </c>
      <c r="R31" s="608">
        <v>0.09</v>
      </c>
      <c r="S31" s="608">
        <v>165084.08000000002</v>
      </c>
    </row>
    <row r="32" spans="1:19">
      <c r="A32" s="784">
        <f t="shared" si="6"/>
        <v>2.1599999999999966</v>
      </c>
      <c r="B32" s="608" t="s">
        <v>1179</v>
      </c>
      <c r="C32" s="767">
        <f t="shared" si="0"/>
        <v>359318.23000000004</v>
      </c>
      <c r="D32" s="767">
        <f t="shared" si="1"/>
        <v>363575.24</v>
      </c>
      <c r="E32" s="767"/>
      <c r="F32" s="767"/>
      <c r="G32" s="767">
        <f t="shared" si="2"/>
        <v>361447</v>
      </c>
      <c r="H32" s="767"/>
      <c r="I32" s="767">
        <f t="shared" si="3"/>
        <v>293283.01</v>
      </c>
      <c r="J32" s="767">
        <f t="shared" si="4"/>
        <v>-0.06</v>
      </c>
      <c r="K32" s="767">
        <f t="shared" si="5"/>
        <v>68163.785000000003</v>
      </c>
      <c r="L32" s="767"/>
      <c r="M32" s="608">
        <v>295772.77</v>
      </c>
      <c r="N32" s="608">
        <v>-0.06</v>
      </c>
      <c r="O32" s="608">
        <v>63545.520000000004</v>
      </c>
      <c r="P32" s="767"/>
      <c r="Q32" s="608">
        <v>290793.25</v>
      </c>
      <c r="R32" s="608">
        <v>-0.06</v>
      </c>
      <c r="S32" s="608">
        <v>72782.05</v>
      </c>
    </row>
    <row r="33" spans="1:19">
      <c r="A33" s="784">
        <f t="shared" si="6"/>
        <v>2.1699999999999964</v>
      </c>
      <c r="B33" s="608" t="s">
        <v>1180</v>
      </c>
      <c r="C33" s="767">
        <f t="shared" si="0"/>
        <v>0.09</v>
      </c>
      <c r="D33" s="767">
        <f t="shared" si="1"/>
        <v>0.09</v>
      </c>
      <c r="E33" s="767"/>
      <c r="F33" s="767"/>
      <c r="G33" s="767">
        <f t="shared" si="2"/>
        <v>0</v>
      </c>
      <c r="H33" s="767"/>
      <c r="I33" s="767">
        <f t="shared" si="3"/>
        <v>0.09</v>
      </c>
      <c r="J33" s="767">
        <f t="shared" si="4"/>
        <v>0</v>
      </c>
      <c r="K33" s="767">
        <f t="shared" si="5"/>
        <v>0</v>
      </c>
      <c r="L33" s="767"/>
      <c r="M33" s="608">
        <v>0.09</v>
      </c>
      <c r="N33" s="608"/>
      <c r="O33" s="608"/>
      <c r="P33" s="767"/>
      <c r="Q33" s="608">
        <v>0.09</v>
      </c>
      <c r="R33" s="608"/>
      <c r="S33" s="608"/>
    </row>
    <row r="34" spans="1:19">
      <c r="A34" s="784">
        <f t="shared" si="6"/>
        <v>2.1799999999999962</v>
      </c>
      <c r="B34" s="608" t="s">
        <v>1181</v>
      </c>
      <c r="C34" s="767">
        <f t="shared" si="0"/>
        <v>0.21</v>
      </c>
      <c r="D34" s="767">
        <f t="shared" si="1"/>
        <v>0.21</v>
      </c>
      <c r="E34" s="767"/>
      <c r="F34" s="767"/>
      <c r="G34" s="767">
        <f t="shared" si="2"/>
        <v>0</v>
      </c>
      <c r="H34" s="767"/>
      <c r="I34" s="767">
        <f t="shared" si="3"/>
        <v>0</v>
      </c>
      <c r="J34" s="767">
        <f t="shared" si="4"/>
        <v>0</v>
      </c>
      <c r="K34" s="767">
        <f t="shared" si="5"/>
        <v>0.21</v>
      </c>
      <c r="L34" s="767"/>
      <c r="M34" s="608"/>
      <c r="N34" s="608"/>
      <c r="O34" s="608">
        <v>0.21</v>
      </c>
      <c r="P34" s="767"/>
      <c r="Q34" s="608"/>
      <c r="R34" s="608"/>
      <c r="S34" s="608">
        <v>0.21</v>
      </c>
    </row>
    <row r="35" spans="1:19">
      <c r="A35" s="784">
        <f t="shared" si="6"/>
        <v>2.1899999999999959</v>
      </c>
      <c r="B35" s="608" t="s">
        <v>1182</v>
      </c>
      <c r="C35" s="767">
        <f t="shared" si="0"/>
        <v>-0.08</v>
      </c>
      <c r="D35" s="767">
        <f t="shared" si="1"/>
        <v>0</v>
      </c>
      <c r="E35" s="767"/>
      <c r="F35" s="767"/>
      <c r="G35" s="767">
        <f t="shared" si="2"/>
        <v>0</v>
      </c>
      <c r="H35" s="767"/>
      <c r="I35" s="767">
        <f t="shared" si="3"/>
        <v>0</v>
      </c>
      <c r="J35" s="767">
        <f t="shared" si="4"/>
        <v>0</v>
      </c>
      <c r="K35" s="767">
        <f t="shared" si="5"/>
        <v>-0.04</v>
      </c>
      <c r="L35" s="767"/>
      <c r="M35" s="608"/>
      <c r="N35" s="608"/>
      <c r="O35" s="608">
        <v>-0.08</v>
      </c>
      <c r="P35" s="767"/>
      <c r="Q35" s="608"/>
      <c r="R35" s="608"/>
      <c r="S35" s="608"/>
    </row>
    <row r="36" spans="1:19">
      <c r="A36" s="784">
        <f t="shared" si="6"/>
        <v>2.1999999999999957</v>
      </c>
      <c r="B36" s="608" t="s">
        <v>1183</v>
      </c>
      <c r="C36" s="767">
        <f t="shared" si="0"/>
        <v>38097.480000000003</v>
      </c>
      <c r="D36" s="767">
        <f t="shared" si="1"/>
        <v>36432.5</v>
      </c>
      <c r="E36" s="767"/>
      <c r="F36" s="767"/>
      <c r="G36" s="767">
        <f t="shared" si="2"/>
        <v>37265</v>
      </c>
      <c r="H36" s="767"/>
      <c r="I36" s="767">
        <f t="shared" si="3"/>
        <v>0</v>
      </c>
      <c r="J36" s="767">
        <f t="shared" si="4"/>
        <v>32.524999999999999</v>
      </c>
      <c r="K36" s="767">
        <f t="shared" si="5"/>
        <v>37232.464999999997</v>
      </c>
      <c r="L36" s="767"/>
      <c r="M36" s="608"/>
      <c r="N36" s="608">
        <v>33.15</v>
      </c>
      <c r="O36" s="608">
        <v>38064.33</v>
      </c>
      <c r="P36" s="767"/>
      <c r="Q36" s="608"/>
      <c r="R36" s="608">
        <v>31.900000000000002</v>
      </c>
      <c r="S36" s="608">
        <v>36400.6</v>
      </c>
    </row>
    <row r="37" spans="1:19">
      <c r="A37" s="784">
        <f t="shared" si="6"/>
        <v>2.2099999999999955</v>
      </c>
      <c r="B37" s="608" t="s">
        <v>1184</v>
      </c>
      <c r="C37" s="767">
        <f t="shared" si="0"/>
        <v>0</v>
      </c>
      <c r="D37" s="767">
        <f t="shared" si="1"/>
        <v>0</v>
      </c>
      <c r="E37" s="767"/>
      <c r="F37" s="767"/>
      <c r="G37" s="767">
        <f t="shared" si="2"/>
        <v>0</v>
      </c>
      <c r="H37" s="767"/>
      <c r="I37" s="767">
        <f t="shared" si="3"/>
        <v>0</v>
      </c>
      <c r="J37" s="767">
        <f t="shared" si="4"/>
        <v>0</v>
      </c>
      <c r="K37" s="767">
        <f t="shared" si="5"/>
        <v>0</v>
      </c>
      <c r="L37" s="767"/>
      <c r="M37" s="608">
        <v>0</v>
      </c>
      <c r="N37" s="608"/>
      <c r="O37" s="608"/>
      <c r="P37" s="767"/>
      <c r="Q37" s="608"/>
      <c r="R37" s="608"/>
      <c r="S37" s="608"/>
    </row>
    <row r="38" spans="1:19">
      <c r="A38" s="784">
        <f t="shared" si="6"/>
        <v>2.2199999999999953</v>
      </c>
      <c r="B38" s="608" t="s">
        <v>1185</v>
      </c>
      <c r="C38" s="767">
        <f t="shared" si="0"/>
        <v>-0.21</v>
      </c>
      <c r="D38" s="767">
        <f t="shared" si="1"/>
        <v>580.43999999999994</v>
      </c>
      <c r="E38" s="767"/>
      <c r="F38" s="767"/>
      <c r="G38" s="767">
        <f t="shared" si="2"/>
        <v>290</v>
      </c>
      <c r="H38" s="767"/>
      <c r="I38" s="767">
        <f t="shared" si="3"/>
        <v>-0.21</v>
      </c>
      <c r="J38" s="767">
        <f t="shared" si="4"/>
        <v>0</v>
      </c>
      <c r="K38" s="767">
        <f t="shared" si="5"/>
        <v>290.32499999999999</v>
      </c>
      <c r="L38" s="767"/>
      <c r="M38" s="608">
        <v>-0.21</v>
      </c>
      <c r="N38" s="608"/>
      <c r="O38" s="608"/>
      <c r="P38" s="767"/>
      <c r="Q38" s="608">
        <v>-0.21</v>
      </c>
      <c r="R38" s="608"/>
      <c r="S38" s="608">
        <v>580.65</v>
      </c>
    </row>
    <row r="39" spans="1:19">
      <c r="A39" s="784">
        <f t="shared" si="6"/>
        <v>2.2299999999999951</v>
      </c>
      <c r="B39" s="608" t="s">
        <v>1186</v>
      </c>
      <c r="C39" s="767">
        <f t="shared" si="0"/>
        <v>109538.58</v>
      </c>
      <c r="D39" s="767">
        <f t="shared" si="1"/>
        <v>681884.11</v>
      </c>
      <c r="E39" s="767"/>
      <c r="F39" s="767"/>
      <c r="G39" s="767">
        <f t="shared" si="2"/>
        <v>395711</v>
      </c>
      <c r="H39" s="767"/>
      <c r="I39" s="767">
        <f t="shared" si="3"/>
        <v>395903.6</v>
      </c>
      <c r="J39" s="767">
        <f t="shared" si="4"/>
        <v>0</v>
      </c>
      <c r="K39" s="767">
        <f t="shared" si="5"/>
        <v>-192.255</v>
      </c>
      <c r="L39" s="767"/>
      <c r="M39" s="608">
        <v>109923.09</v>
      </c>
      <c r="N39" s="608"/>
      <c r="O39" s="608">
        <v>-384.51</v>
      </c>
      <c r="P39" s="767"/>
      <c r="Q39" s="608">
        <v>681884.11</v>
      </c>
      <c r="R39" s="608"/>
      <c r="S39" s="608"/>
    </row>
    <row r="40" spans="1:19">
      <c r="A40" s="784">
        <f t="shared" si="6"/>
        <v>2.2399999999999949</v>
      </c>
      <c r="B40" s="608" t="s">
        <v>1187</v>
      </c>
      <c r="C40" s="767">
        <f t="shared" si="0"/>
        <v>-2027100.1600000001</v>
      </c>
      <c r="D40" s="767">
        <f t="shared" si="1"/>
        <v>-2480879.2800000003</v>
      </c>
      <c r="E40" s="767"/>
      <c r="F40" s="767"/>
      <c r="G40" s="767">
        <f t="shared" si="2"/>
        <v>-2253990</v>
      </c>
      <c r="H40" s="767"/>
      <c r="I40" s="767">
        <f t="shared" si="3"/>
        <v>-1446596.2949999999</v>
      </c>
      <c r="J40" s="767">
        <f t="shared" si="4"/>
        <v>-8776.0450000000001</v>
      </c>
      <c r="K40" s="767">
        <f t="shared" si="5"/>
        <v>-798617.38</v>
      </c>
      <c r="L40" s="767"/>
      <c r="M40" s="608">
        <v>-1392879.35</v>
      </c>
      <c r="N40" s="608">
        <v>-1880.8</v>
      </c>
      <c r="O40" s="608">
        <v>-632340.01</v>
      </c>
      <c r="P40" s="767"/>
      <c r="Q40" s="608">
        <v>-1500313.24</v>
      </c>
      <c r="R40" s="608">
        <v>-15671.29</v>
      </c>
      <c r="S40" s="608">
        <v>-964894.75</v>
      </c>
    </row>
    <row r="41" spans="1:19">
      <c r="A41" s="784">
        <f t="shared" si="6"/>
        <v>2.2499999999999947</v>
      </c>
      <c r="B41" s="608" t="s">
        <v>1188</v>
      </c>
      <c r="C41" s="767">
        <f t="shared" si="0"/>
        <v>81954.33</v>
      </c>
      <c r="D41" s="767">
        <f t="shared" si="1"/>
        <v>51193.74</v>
      </c>
      <c r="E41" s="767"/>
      <c r="F41" s="767"/>
      <c r="G41" s="767">
        <f t="shared" si="2"/>
        <v>66574</v>
      </c>
      <c r="H41" s="767"/>
      <c r="I41" s="767">
        <f t="shared" si="3"/>
        <v>0</v>
      </c>
      <c r="J41" s="767">
        <f t="shared" si="4"/>
        <v>0</v>
      </c>
      <c r="K41" s="767">
        <f t="shared" si="5"/>
        <v>66574.035000000003</v>
      </c>
      <c r="L41" s="767"/>
      <c r="M41" s="608"/>
      <c r="N41" s="608"/>
      <c r="O41" s="608">
        <v>81954.33</v>
      </c>
      <c r="P41" s="767"/>
      <c r="Q41" s="608"/>
      <c r="R41" s="608"/>
      <c r="S41" s="608">
        <v>51193.74</v>
      </c>
    </row>
    <row r="42" spans="1:19">
      <c r="A42" s="784">
        <f t="shared" si="6"/>
        <v>2.2599999999999945</v>
      </c>
      <c r="B42" s="1176" t="s">
        <v>1189</v>
      </c>
      <c r="C42" s="771">
        <f t="shared" si="0"/>
        <v>6980940.4399999995</v>
      </c>
      <c r="D42" s="771">
        <f t="shared" si="1"/>
        <v>7307063.3600000003</v>
      </c>
      <c r="E42" s="771"/>
      <c r="F42" s="771"/>
      <c r="G42" s="771">
        <f t="shared" si="2"/>
        <v>7144002</v>
      </c>
      <c r="H42" s="771"/>
      <c r="I42" s="771">
        <f t="shared" si="3"/>
        <v>7093228.6200000001</v>
      </c>
      <c r="J42" s="771">
        <f t="shared" si="4"/>
        <v>27329.474999999999</v>
      </c>
      <c r="K42" s="771">
        <f t="shared" si="5"/>
        <v>23443.805</v>
      </c>
      <c r="L42" s="771"/>
      <c r="M42" s="608">
        <v>6909282.7599999998</v>
      </c>
      <c r="N42" s="608">
        <v>26662.79</v>
      </c>
      <c r="O42" s="608">
        <v>44994.89</v>
      </c>
      <c r="P42" s="767"/>
      <c r="Q42" s="608">
        <v>7277174.4800000004</v>
      </c>
      <c r="R42" s="608">
        <v>27996.16</v>
      </c>
      <c r="S42" s="608">
        <v>1892.72</v>
      </c>
    </row>
    <row r="43" spans="1:19">
      <c r="A43" s="784">
        <f t="shared" si="6"/>
        <v>2.2699999999999942</v>
      </c>
      <c r="B43" s="608" t="s">
        <v>1190</v>
      </c>
      <c r="C43" s="767">
        <f t="shared" si="0"/>
        <v>472896.09</v>
      </c>
      <c r="D43" s="767">
        <f t="shared" si="1"/>
        <v>442002.09</v>
      </c>
      <c r="E43" s="767"/>
      <c r="F43" s="767"/>
      <c r="G43" s="767">
        <f t="shared" si="2"/>
        <v>457449</v>
      </c>
      <c r="H43" s="767"/>
      <c r="I43" s="767">
        <f t="shared" si="3"/>
        <v>43864.945000000007</v>
      </c>
      <c r="J43" s="767">
        <f t="shared" si="4"/>
        <v>0</v>
      </c>
      <c r="K43" s="767">
        <f t="shared" si="5"/>
        <v>413584.14500000002</v>
      </c>
      <c r="L43" s="767"/>
      <c r="M43" s="608">
        <v>50188.880000000005</v>
      </c>
      <c r="N43" s="608"/>
      <c r="O43" s="608">
        <v>422707.21</v>
      </c>
      <c r="P43" s="767"/>
      <c r="Q43" s="608">
        <v>37541.01</v>
      </c>
      <c r="R43" s="608"/>
      <c r="S43" s="608">
        <v>404461.08</v>
      </c>
    </row>
    <row r="44" spans="1:19">
      <c r="A44" s="784">
        <f t="shared" si="6"/>
        <v>2.279999999999994</v>
      </c>
      <c r="B44" s="608" t="s">
        <v>1191</v>
      </c>
      <c r="C44" s="767">
        <f t="shared" si="0"/>
        <v>12581.58</v>
      </c>
      <c r="D44" s="767">
        <f t="shared" si="1"/>
        <v>18408.93</v>
      </c>
      <c r="E44" s="767"/>
      <c r="F44" s="767"/>
      <c r="G44" s="767">
        <f t="shared" si="2"/>
        <v>15495</v>
      </c>
      <c r="H44" s="767"/>
      <c r="I44" s="767">
        <f t="shared" si="3"/>
        <v>14713.689999999999</v>
      </c>
      <c r="J44" s="767">
        <f t="shared" si="4"/>
        <v>0</v>
      </c>
      <c r="K44" s="767">
        <f t="shared" si="5"/>
        <v>781.56500000000005</v>
      </c>
      <c r="L44" s="767"/>
      <c r="M44" s="608">
        <v>12241.6</v>
      </c>
      <c r="N44" s="608"/>
      <c r="O44" s="608">
        <v>339.98</v>
      </c>
      <c r="P44" s="767"/>
      <c r="Q44" s="608">
        <v>17185.78</v>
      </c>
      <c r="R44" s="608"/>
      <c r="S44" s="608">
        <v>1223.1500000000001</v>
      </c>
    </row>
    <row r="45" spans="1:19">
      <c r="A45" s="784">
        <f t="shared" si="6"/>
        <v>2.2899999999999938</v>
      </c>
      <c r="B45" s="608" t="s">
        <v>1192</v>
      </c>
      <c r="C45" s="767">
        <f t="shared" si="0"/>
        <v>150419.64000000001</v>
      </c>
      <c r="D45" s="767">
        <f t="shared" si="1"/>
        <v>241878.21</v>
      </c>
      <c r="E45" s="767"/>
      <c r="F45" s="767"/>
      <c r="G45" s="767">
        <f t="shared" si="2"/>
        <v>196149</v>
      </c>
      <c r="H45" s="767"/>
      <c r="I45" s="767">
        <f t="shared" si="3"/>
        <v>0</v>
      </c>
      <c r="J45" s="767">
        <f t="shared" si="4"/>
        <v>0</v>
      </c>
      <c r="K45" s="767">
        <f t="shared" si="5"/>
        <v>196148.92499999999</v>
      </c>
      <c r="L45" s="767"/>
      <c r="M45" s="608"/>
      <c r="N45" s="608"/>
      <c r="O45" s="608">
        <v>150419.64000000001</v>
      </c>
      <c r="P45" s="767"/>
      <c r="Q45" s="608"/>
      <c r="R45" s="608"/>
      <c r="S45" s="608">
        <v>241878.21</v>
      </c>
    </row>
    <row r="46" spans="1:19">
      <c r="A46" s="784">
        <f t="shared" si="6"/>
        <v>2.2999999999999936</v>
      </c>
      <c r="B46" s="608" t="s">
        <v>1193</v>
      </c>
      <c r="C46" s="767">
        <f t="shared" si="0"/>
        <v>0.04</v>
      </c>
      <c r="D46" s="767">
        <f t="shared" si="1"/>
        <v>0.04</v>
      </c>
      <c r="E46" s="767"/>
      <c r="F46" s="767"/>
      <c r="G46" s="767">
        <f t="shared" si="2"/>
        <v>0</v>
      </c>
      <c r="H46" s="767"/>
      <c r="I46" s="767">
        <f t="shared" si="3"/>
        <v>0</v>
      </c>
      <c r="J46" s="767">
        <f t="shared" si="4"/>
        <v>0</v>
      </c>
      <c r="K46" s="767">
        <f t="shared" si="5"/>
        <v>0.04</v>
      </c>
      <c r="L46" s="767"/>
      <c r="M46" s="608"/>
      <c r="N46" s="608"/>
      <c r="O46" s="608">
        <v>0.04</v>
      </c>
      <c r="P46" s="767"/>
      <c r="Q46" s="608"/>
      <c r="R46" s="608"/>
      <c r="S46" s="608">
        <v>0.04</v>
      </c>
    </row>
    <row r="47" spans="1:19">
      <c r="A47" s="784">
        <f t="shared" si="6"/>
        <v>2.3099999999999934</v>
      </c>
      <c r="B47" s="608" t="s">
        <v>1194</v>
      </c>
      <c r="C47" s="767">
        <f t="shared" si="0"/>
        <v>1965.3300000000002</v>
      </c>
      <c r="D47" s="767">
        <f t="shared" si="1"/>
        <v>2381.4699999999998</v>
      </c>
      <c r="E47" s="767"/>
      <c r="F47" s="767"/>
      <c r="G47" s="767">
        <f t="shared" si="2"/>
        <v>2173</v>
      </c>
      <c r="H47" s="767"/>
      <c r="I47" s="767">
        <f t="shared" si="3"/>
        <v>2012.9450000000002</v>
      </c>
      <c r="J47" s="767">
        <f t="shared" si="4"/>
        <v>0</v>
      </c>
      <c r="K47" s="767">
        <f t="shared" si="5"/>
        <v>160.45500000000001</v>
      </c>
      <c r="L47" s="767"/>
      <c r="M47" s="608">
        <v>1862.3500000000001</v>
      </c>
      <c r="N47" s="608"/>
      <c r="O47" s="608">
        <v>102.98</v>
      </c>
      <c r="P47" s="767"/>
      <c r="Q47" s="608">
        <v>2163.54</v>
      </c>
      <c r="R47" s="608"/>
      <c r="S47" s="608">
        <v>217.93</v>
      </c>
    </row>
    <row r="48" spans="1:19">
      <c r="A48" s="784">
        <f t="shared" si="6"/>
        <v>2.3199999999999932</v>
      </c>
      <c r="B48" s="608" t="s">
        <v>1195</v>
      </c>
      <c r="C48" s="767">
        <f t="shared" si="0"/>
        <v>1967244.92</v>
      </c>
      <c r="D48" s="767">
        <f t="shared" si="1"/>
        <v>1969914.35</v>
      </c>
      <c r="E48" s="767"/>
      <c r="F48" s="767"/>
      <c r="G48" s="767">
        <f t="shared" si="2"/>
        <v>1968580</v>
      </c>
      <c r="H48" s="767"/>
      <c r="I48" s="767">
        <f t="shared" si="3"/>
        <v>1056412.17</v>
      </c>
      <c r="J48" s="767">
        <f t="shared" si="4"/>
        <v>93201.47</v>
      </c>
      <c r="K48" s="767">
        <f t="shared" si="5"/>
        <v>818965.99500000011</v>
      </c>
      <c r="L48" s="767"/>
      <c r="M48" s="608">
        <v>1055433.98</v>
      </c>
      <c r="N48" s="608">
        <v>93171.77</v>
      </c>
      <c r="O48" s="608">
        <v>818639.17</v>
      </c>
      <c r="P48" s="767"/>
      <c r="Q48" s="608">
        <v>1057390.3600000001</v>
      </c>
      <c r="R48" s="608">
        <v>93231.17</v>
      </c>
      <c r="S48" s="608">
        <v>819292.82000000007</v>
      </c>
    </row>
    <row r="49" spans="1:19">
      <c r="A49" s="784">
        <f t="shared" si="6"/>
        <v>2.329999999999993</v>
      </c>
      <c r="B49" s="608" t="s">
        <v>1196</v>
      </c>
      <c r="C49" s="767">
        <f t="shared" si="0"/>
        <v>0.09</v>
      </c>
      <c r="D49" s="767">
        <f t="shared" si="1"/>
        <v>0</v>
      </c>
      <c r="E49" s="767"/>
      <c r="F49" s="767"/>
      <c r="G49" s="767">
        <f t="shared" si="2"/>
        <v>0</v>
      </c>
      <c r="H49" s="767"/>
      <c r="I49" s="767">
        <f t="shared" si="3"/>
        <v>0</v>
      </c>
      <c r="J49" s="767">
        <f t="shared" si="4"/>
        <v>0</v>
      </c>
      <c r="K49" s="767">
        <f t="shared" si="5"/>
        <v>4.4999999999999998E-2</v>
      </c>
      <c r="L49" s="767"/>
      <c r="M49" s="608"/>
      <c r="N49" s="608"/>
      <c r="O49" s="608">
        <v>0.09</v>
      </c>
      <c r="P49" s="767"/>
      <c r="Q49" s="608"/>
      <c r="R49" s="608"/>
      <c r="S49" s="608"/>
    </row>
    <row r="50" spans="1:19">
      <c r="A50" s="784">
        <f t="shared" si="6"/>
        <v>2.3399999999999928</v>
      </c>
      <c r="B50" s="608" t="s">
        <v>1197</v>
      </c>
      <c r="C50" s="767">
        <f t="shared" si="0"/>
        <v>-107960.7</v>
      </c>
      <c r="D50" s="767">
        <f t="shared" si="1"/>
        <v>-110011.39</v>
      </c>
      <c r="E50" s="767"/>
      <c r="F50" s="767"/>
      <c r="G50" s="767">
        <f t="shared" si="2"/>
        <v>-108986</v>
      </c>
      <c r="H50" s="767"/>
      <c r="I50" s="767">
        <f t="shared" si="3"/>
        <v>0</v>
      </c>
      <c r="J50" s="767">
        <f t="shared" si="4"/>
        <v>0</v>
      </c>
      <c r="K50" s="767">
        <f t="shared" si="5"/>
        <v>-108986.045</v>
      </c>
      <c r="L50" s="767"/>
      <c r="M50" s="608"/>
      <c r="N50" s="608"/>
      <c r="O50" s="608">
        <v>-107960.7</v>
      </c>
      <c r="P50" s="767"/>
      <c r="Q50" s="608"/>
      <c r="R50" s="608"/>
      <c r="S50" s="608">
        <v>-110011.39</v>
      </c>
    </row>
    <row r="51" spans="1:19">
      <c r="A51" s="784">
        <f t="shared" si="6"/>
        <v>2.3499999999999925</v>
      </c>
      <c r="B51" s="608" t="s">
        <v>1198</v>
      </c>
      <c r="C51" s="767">
        <f t="shared" si="0"/>
        <v>986432.79</v>
      </c>
      <c r="D51" s="767">
        <f t="shared" si="1"/>
        <v>986432.79</v>
      </c>
      <c r="E51" s="767"/>
      <c r="F51" s="767"/>
      <c r="G51" s="767">
        <f t="shared" si="2"/>
        <v>986433</v>
      </c>
      <c r="H51" s="767"/>
      <c r="I51" s="767">
        <f t="shared" si="3"/>
        <v>986432.79</v>
      </c>
      <c r="J51" s="767">
        <f t="shared" si="4"/>
        <v>0</v>
      </c>
      <c r="K51" s="767">
        <f t="shared" si="5"/>
        <v>0</v>
      </c>
      <c r="L51" s="767"/>
      <c r="M51" s="608">
        <v>986432.79</v>
      </c>
      <c r="N51" s="608"/>
      <c r="O51" s="608"/>
      <c r="P51" s="767"/>
      <c r="Q51" s="608">
        <v>986432.79</v>
      </c>
      <c r="R51" s="608"/>
      <c r="S51" s="608"/>
    </row>
    <row r="52" spans="1:19">
      <c r="A52" s="784">
        <f t="shared" si="6"/>
        <v>2.3599999999999923</v>
      </c>
      <c r="B52" s="608" t="s">
        <v>1199</v>
      </c>
      <c r="C52" s="767">
        <f t="shared" si="0"/>
        <v>272847.88</v>
      </c>
      <c r="D52" s="767">
        <f t="shared" si="1"/>
        <v>272847.88</v>
      </c>
      <c r="E52" s="767"/>
      <c r="F52" s="767"/>
      <c r="G52" s="767">
        <f t="shared" si="2"/>
        <v>272848</v>
      </c>
      <c r="H52" s="767"/>
      <c r="I52" s="767">
        <f t="shared" si="3"/>
        <v>272847.88</v>
      </c>
      <c r="J52" s="767">
        <f t="shared" si="4"/>
        <v>0</v>
      </c>
      <c r="K52" s="767">
        <f t="shared" si="5"/>
        <v>0</v>
      </c>
      <c r="L52" s="767"/>
      <c r="M52" s="608">
        <v>272847.88</v>
      </c>
      <c r="N52" s="608"/>
      <c r="O52" s="608"/>
      <c r="P52" s="767"/>
      <c r="Q52" s="608">
        <v>272847.88</v>
      </c>
      <c r="R52" s="608"/>
      <c r="S52" s="608"/>
    </row>
    <row r="53" spans="1:19">
      <c r="A53" s="784">
        <f t="shared" si="6"/>
        <v>2.3699999999999921</v>
      </c>
      <c r="B53" s="608" t="s">
        <v>1200</v>
      </c>
      <c r="C53" s="767">
        <f t="shared" si="0"/>
        <v>0.03</v>
      </c>
      <c r="D53" s="767">
        <f t="shared" si="1"/>
        <v>0.03</v>
      </c>
      <c r="E53" s="767"/>
      <c r="F53" s="767"/>
      <c r="G53" s="767">
        <f t="shared" si="2"/>
        <v>0</v>
      </c>
      <c r="H53" s="767"/>
      <c r="I53" s="767">
        <f t="shared" si="3"/>
        <v>0.03</v>
      </c>
      <c r="J53" s="767">
        <f t="shared" si="4"/>
        <v>0</v>
      </c>
      <c r="K53" s="767">
        <f t="shared" si="5"/>
        <v>0</v>
      </c>
      <c r="L53" s="767"/>
      <c r="M53" s="608">
        <v>0.03</v>
      </c>
      <c r="N53" s="608"/>
      <c r="O53" s="608"/>
      <c r="P53" s="767"/>
      <c r="Q53" s="608">
        <v>0.03</v>
      </c>
      <c r="R53" s="608"/>
      <c r="S53" s="608"/>
    </row>
    <row r="54" spans="1:19">
      <c r="A54" s="784">
        <f t="shared" si="6"/>
        <v>2.3799999999999919</v>
      </c>
      <c r="B54" s="608" t="s">
        <v>1201</v>
      </c>
      <c r="C54" s="767">
        <f t="shared" si="0"/>
        <v>-0.28999999999999998</v>
      </c>
      <c r="D54" s="767">
        <f t="shared" si="1"/>
        <v>-0.28999999999999998</v>
      </c>
      <c r="E54" s="767"/>
      <c r="F54" s="767"/>
      <c r="G54" s="767">
        <f t="shared" si="2"/>
        <v>0</v>
      </c>
      <c r="H54" s="767"/>
      <c r="I54" s="767">
        <f t="shared" si="3"/>
        <v>-0.28999999999999998</v>
      </c>
      <c r="J54" s="767">
        <f t="shared" si="4"/>
        <v>0</v>
      </c>
      <c r="K54" s="767">
        <f t="shared" si="5"/>
        <v>0</v>
      </c>
      <c r="L54" s="767"/>
      <c r="M54" s="608">
        <v>-0.28999999999999998</v>
      </c>
      <c r="N54" s="608"/>
      <c r="O54" s="608"/>
      <c r="P54" s="767"/>
      <c r="Q54" s="608">
        <v>-0.28999999999999998</v>
      </c>
      <c r="R54" s="608"/>
      <c r="S54" s="608"/>
    </row>
    <row r="55" spans="1:19">
      <c r="A55" s="784">
        <f t="shared" si="6"/>
        <v>2.3899999999999917</v>
      </c>
      <c r="B55" s="1176" t="s">
        <v>1202</v>
      </c>
      <c r="C55" s="771">
        <f t="shared" si="0"/>
        <v>-259384.56</v>
      </c>
      <c r="D55" s="771">
        <f t="shared" si="1"/>
        <v>-839022.68</v>
      </c>
      <c r="E55" s="771"/>
      <c r="F55" s="771"/>
      <c r="G55" s="771">
        <f t="shared" si="2"/>
        <v>-549204</v>
      </c>
      <c r="H55" s="771"/>
      <c r="I55" s="771">
        <f t="shared" si="3"/>
        <v>-549203.62</v>
      </c>
      <c r="J55" s="771">
        <f t="shared" si="4"/>
        <v>0</v>
      </c>
      <c r="K55" s="771">
        <f t="shared" si="5"/>
        <v>0</v>
      </c>
      <c r="L55" s="771"/>
      <c r="M55" s="608">
        <v>-259384.56</v>
      </c>
      <c r="N55" s="608"/>
      <c r="O55" s="608"/>
      <c r="P55" s="767"/>
      <c r="Q55" s="608">
        <v>-839022.68</v>
      </c>
      <c r="R55" s="608"/>
      <c r="S55" s="608"/>
    </row>
    <row r="56" spans="1:19">
      <c r="A56" s="784">
        <f t="shared" si="6"/>
        <v>2.3999999999999915</v>
      </c>
      <c r="B56" s="608" t="s">
        <v>1203</v>
      </c>
      <c r="C56" s="767">
        <f t="shared" si="0"/>
        <v>-391916.91000000003</v>
      </c>
      <c r="D56" s="767">
        <f t="shared" si="1"/>
        <v>-391916.91000000003</v>
      </c>
      <c r="E56" s="767"/>
      <c r="F56" s="767"/>
      <c r="G56" s="767">
        <f t="shared" si="2"/>
        <v>-391917</v>
      </c>
      <c r="H56" s="767"/>
      <c r="I56" s="767">
        <f t="shared" si="3"/>
        <v>-391916.91000000003</v>
      </c>
      <c r="J56" s="767">
        <f t="shared" si="4"/>
        <v>0</v>
      </c>
      <c r="K56" s="767">
        <f t="shared" si="5"/>
        <v>0</v>
      </c>
      <c r="L56" s="767"/>
      <c r="M56" s="608">
        <v>-391916.91000000003</v>
      </c>
      <c r="N56" s="608"/>
      <c r="O56" s="608"/>
      <c r="P56" s="767"/>
      <c r="Q56" s="608">
        <v>-391916.91000000003</v>
      </c>
      <c r="R56" s="608"/>
      <c r="S56" s="608"/>
    </row>
    <row r="57" spans="1:19">
      <c r="A57" s="784">
        <f t="shared" si="6"/>
        <v>2.4099999999999913</v>
      </c>
      <c r="B57" s="608" t="s">
        <v>1204</v>
      </c>
      <c r="C57" s="767">
        <f t="shared" si="0"/>
        <v>-3377.2200000000003</v>
      </c>
      <c r="D57" s="767">
        <f t="shared" si="1"/>
        <v>-3377.2200000000003</v>
      </c>
      <c r="E57" s="767"/>
      <c r="F57" s="767"/>
      <c r="G57" s="767">
        <f t="shared" si="2"/>
        <v>-3377</v>
      </c>
      <c r="H57" s="767"/>
      <c r="I57" s="767">
        <f t="shared" si="3"/>
        <v>-3377.2200000000003</v>
      </c>
      <c r="J57" s="767">
        <f t="shared" si="4"/>
        <v>0</v>
      </c>
      <c r="K57" s="767">
        <f t="shared" si="5"/>
        <v>0</v>
      </c>
      <c r="L57" s="767"/>
      <c r="M57" s="608">
        <v>-3377.2200000000003</v>
      </c>
      <c r="N57" s="608"/>
      <c r="O57" s="608"/>
      <c r="P57" s="767"/>
      <c r="Q57" s="608">
        <v>-3377.2200000000003</v>
      </c>
      <c r="R57" s="608"/>
      <c r="S57" s="608"/>
    </row>
    <row r="58" spans="1:19">
      <c r="A58" s="784">
        <f t="shared" si="6"/>
        <v>2.419999999999991</v>
      </c>
      <c r="B58" s="608" t="s">
        <v>1205</v>
      </c>
      <c r="C58" s="767">
        <f t="shared" si="0"/>
        <v>-0.21</v>
      </c>
      <c r="D58" s="767">
        <f t="shared" si="1"/>
        <v>-0.21</v>
      </c>
      <c r="E58" s="767"/>
      <c r="F58" s="767"/>
      <c r="G58" s="767">
        <f t="shared" si="2"/>
        <v>0</v>
      </c>
      <c r="H58" s="767"/>
      <c r="I58" s="767">
        <f t="shared" si="3"/>
        <v>-0.21</v>
      </c>
      <c r="J58" s="767">
        <f t="shared" si="4"/>
        <v>0</v>
      </c>
      <c r="K58" s="767">
        <f t="shared" si="5"/>
        <v>0</v>
      </c>
      <c r="L58" s="767"/>
      <c r="M58" s="608">
        <v>-0.21</v>
      </c>
      <c r="N58" s="608"/>
      <c r="O58" s="608"/>
      <c r="P58" s="767"/>
      <c r="Q58" s="608">
        <v>-0.21</v>
      </c>
      <c r="R58" s="608"/>
      <c r="S58" s="608"/>
    </row>
    <row r="59" spans="1:19">
      <c r="A59" s="784">
        <f t="shared" si="6"/>
        <v>2.4299999999999908</v>
      </c>
      <c r="B59" s="608" t="s">
        <v>1206</v>
      </c>
      <c r="C59" s="767">
        <f t="shared" si="0"/>
        <v>0.15</v>
      </c>
      <c r="D59" s="767">
        <f t="shared" si="1"/>
        <v>0.15</v>
      </c>
      <c r="E59" s="767"/>
      <c r="F59" s="767"/>
      <c r="G59" s="767">
        <f t="shared" si="2"/>
        <v>0</v>
      </c>
      <c r="H59" s="767"/>
      <c r="I59" s="767">
        <f t="shared" si="3"/>
        <v>0</v>
      </c>
      <c r="J59" s="767">
        <f t="shared" si="4"/>
        <v>0.15</v>
      </c>
      <c r="K59" s="767">
        <f t="shared" si="5"/>
        <v>0</v>
      </c>
      <c r="L59" s="767"/>
      <c r="M59" s="608"/>
      <c r="N59" s="608">
        <v>0.15</v>
      </c>
      <c r="O59" s="608"/>
      <c r="P59" s="767"/>
      <c r="Q59" s="608"/>
      <c r="R59" s="608">
        <v>0.15</v>
      </c>
      <c r="S59" s="608"/>
    </row>
    <row r="60" spans="1:19">
      <c r="A60" s="784">
        <f t="shared" si="6"/>
        <v>2.4399999999999906</v>
      </c>
      <c r="B60" s="1071" t="s">
        <v>1038</v>
      </c>
      <c r="C60" s="1071">
        <f t="shared" ref="C60" si="13">SUM(M60:O60)</f>
        <v>1470196.1707616854</v>
      </c>
      <c r="D60" s="1071">
        <f t="shared" ref="D60" si="14">SUM(Q60:S60)</f>
        <v>3122447.1032999945</v>
      </c>
      <c r="E60" s="1072"/>
      <c r="F60" s="1072"/>
      <c r="G60" s="767">
        <f t="shared" ref="G60:G61" si="15">ROUND(SUM(C60:F60)/2,0)</f>
        <v>2296322</v>
      </c>
      <c r="H60" s="767"/>
      <c r="I60" s="767">
        <f t="shared" ref="I60:K60" si="16">(M60+Q60)/2</f>
        <v>1025784.2167101207</v>
      </c>
      <c r="J60" s="767">
        <f t="shared" si="16"/>
        <v>244753.2036105986</v>
      </c>
      <c r="K60" s="767">
        <f t="shared" si="16"/>
        <v>1025784.2167101207</v>
      </c>
      <c r="L60" s="767"/>
      <c r="M60" s="608">
        <v>646214.49282871839</v>
      </c>
      <c r="N60" s="608">
        <v>177767.18510424864</v>
      </c>
      <c r="O60" s="608">
        <v>646214.49282871839</v>
      </c>
      <c r="P60" s="767"/>
      <c r="Q60" s="608">
        <v>1405353.940591523</v>
      </c>
      <c r="R60" s="608">
        <v>311739.22211694857</v>
      </c>
      <c r="S60" s="608">
        <v>1405353.940591523</v>
      </c>
    </row>
    <row r="61" spans="1:19">
      <c r="A61" s="784">
        <f t="shared" si="6"/>
        <v>2.4499999999999904</v>
      </c>
      <c r="B61" s="1071" t="s">
        <v>1039</v>
      </c>
      <c r="C61" s="1071">
        <f t="shared" ref="C61:D63" si="17">-E61</f>
        <v>-1470196.1707616854</v>
      </c>
      <c r="D61" s="1071">
        <f t="shared" si="17"/>
        <v>-3122447.1032999945</v>
      </c>
      <c r="E61" s="1072">
        <f>C60</f>
        <v>1470196.1707616854</v>
      </c>
      <c r="F61" s="1072">
        <f>D60</f>
        <v>3122447.1032999945</v>
      </c>
      <c r="G61" s="767">
        <f t="shared" si="15"/>
        <v>0</v>
      </c>
      <c r="H61" s="767"/>
      <c r="I61" s="767"/>
      <c r="J61" s="767"/>
      <c r="K61" s="767"/>
      <c r="L61" s="767"/>
      <c r="M61" s="1056"/>
      <c r="N61" s="1056"/>
      <c r="O61" s="1056"/>
      <c r="P61" s="767"/>
      <c r="Q61" s="1056"/>
      <c r="R61" s="1056"/>
      <c r="S61" s="1056"/>
    </row>
    <row r="62" spans="1:19">
      <c r="A62" s="784">
        <f t="shared" si="6"/>
        <v>2.4599999999999902</v>
      </c>
      <c r="B62" s="608" t="s">
        <v>1308</v>
      </c>
      <c r="C62" s="608">
        <f t="shared" si="17"/>
        <v>386424.78</v>
      </c>
      <c r="D62" s="608">
        <f t="shared" si="17"/>
        <v>-90077.400000000009</v>
      </c>
      <c r="E62" s="767">
        <v>-386424.78</v>
      </c>
      <c r="F62" s="767">
        <v>90077.400000000009</v>
      </c>
      <c r="G62" s="767">
        <f t="shared" ref="G62:G68" si="18">ROUND(SUM(C62:F62)/2,0)</f>
        <v>0</v>
      </c>
      <c r="H62" s="767"/>
      <c r="I62" s="767"/>
      <c r="J62" s="767"/>
      <c r="K62" s="767"/>
      <c r="L62" s="767"/>
      <c r="M62" s="767"/>
      <c r="N62" s="767"/>
      <c r="O62" s="767"/>
      <c r="P62" s="767"/>
      <c r="Q62" s="767"/>
      <c r="R62" s="767"/>
      <c r="S62" s="767"/>
    </row>
    <row r="63" spans="1:19">
      <c r="A63" s="784">
        <f t="shared" si="6"/>
        <v>2.46999999999999</v>
      </c>
      <c r="B63" s="608" t="s">
        <v>1309</v>
      </c>
      <c r="C63" s="608">
        <f t="shared" si="17"/>
        <v>11451514.67</v>
      </c>
      <c r="D63" s="608">
        <f t="shared" si="17"/>
        <v>15262435.65</v>
      </c>
      <c r="E63" s="767">
        <v>-11451514.67</v>
      </c>
      <c r="F63" s="767">
        <v>-15262435.65</v>
      </c>
      <c r="G63" s="767">
        <f t="shared" ref="G63" si="19">ROUND(SUM(C63:F63)/2,0)</f>
        <v>0</v>
      </c>
      <c r="H63" s="767"/>
      <c r="I63" s="767"/>
      <c r="J63" s="767"/>
      <c r="K63" s="767"/>
      <c r="L63" s="767"/>
      <c r="M63" s="767"/>
      <c r="N63" s="767"/>
      <c r="O63" s="767"/>
      <c r="P63" s="767"/>
      <c r="Q63" s="767"/>
      <c r="R63" s="767"/>
      <c r="S63" s="767"/>
    </row>
    <row r="64" spans="1:19">
      <c r="A64" s="784">
        <f t="shared" si="6"/>
        <v>2.4799999999999898</v>
      </c>
      <c r="B64" s="608" t="s">
        <v>1310</v>
      </c>
      <c r="C64" s="608">
        <f t="shared" ref="C64:C68" si="20">-E64</f>
        <v>11897563.76</v>
      </c>
      <c r="D64" s="608">
        <f t="shared" ref="D64:D68" si="21">-F64</f>
        <v>19582426.68</v>
      </c>
      <c r="E64" s="767">
        <v>-11897563.76</v>
      </c>
      <c r="F64" s="767">
        <v>-19582426.68</v>
      </c>
      <c r="G64" s="767">
        <f t="shared" si="18"/>
        <v>0</v>
      </c>
      <c r="H64" s="767"/>
      <c r="I64" s="767"/>
      <c r="J64" s="767"/>
      <c r="K64" s="767"/>
      <c r="L64" s="767"/>
      <c r="M64" s="767"/>
      <c r="N64" s="767"/>
      <c r="O64" s="767"/>
      <c r="P64" s="767"/>
      <c r="Q64" s="767"/>
      <c r="R64" s="767"/>
      <c r="S64" s="767"/>
    </row>
    <row r="65" spans="1:256">
      <c r="A65" s="784">
        <f t="shared" si="6"/>
        <v>2.4899999999999896</v>
      </c>
      <c r="B65" s="608" t="s">
        <v>1311</v>
      </c>
      <c r="C65" s="608">
        <f t="shared" si="20"/>
        <v>17641237.579999998</v>
      </c>
      <c r="D65" s="608">
        <f t="shared" si="21"/>
        <v>12676141.699999999</v>
      </c>
      <c r="E65" s="767">
        <v>-17641237.579999998</v>
      </c>
      <c r="F65" s="767">
        <v>-12676141.699999999</v>
      </c>
      <c r="G65" s="767">
        <f t="shared" si="18"/>
        <v>0</v>
      </c>
      <c r="H65" s="767"/>
      <c r="I65" s="767"/>
      <c r="J65" s="767"/>
      <c r="K65" s="767"/>
      <c r="L65" s="767"/>
      <c r="M65" s="767"/>
      <c r="N65" s="767"/>
      <c r="O65" s="767"/>
      <c r="P65" s="767"/>
      <c r="Q65" s="767"/>
      <c r="R65" s="767"/>
      <c r="S65" s="767"/>
    </row>
    <row r="66" spans="1:256">
      <c r="A66" s="784">
        <f t="shared" si="6"/>
        <v>2.4999999999999893</v>
      </c>
      <c r="B66" s="608" t="s">
        <v>1040</v>
      </c>
      <c r="C66" s="608">
        <f t="shared" ref="C66" si="22">-E66</f>
        <v>5011.53</v>
      </c>
      <c r="D66" s="608">
        <f t="shared" ref="D66" si="23">-F66</f>
        <v>4105139.67</v>
      </c>
      <c r="E66" s="767">
        <v>-5011.53</v>
      </c>
      <c r="F66" s="767">
        <v>-4105139.67</v>
      </c>
      <c r="G66" s="767">
        <f t="shared" ref="G66" si="24">ROUND(SUM(C66:F66)/2,0)</f>
        <v>0</v>
      </c>
      <c r="H66" s="767"/>
      <c r="I66" s="767"/>
      <c r="J66" s="767"/>
      <c r="K66" s="767"/>
      <c r="L66" s="767"/>
      <c r="M66" s="767"/>
      <c r="N66" s="767"/>
      <c r="O66" s="767"/>
      <c r="P66" s="767"/>
      <c r="Q66" s="767"/>
      <c r="R66" s="767"/>
      <c r="S66" s="767"/>
    </row>
    <row r="67" spans="1:256">
      <c r="A67" s="784">
        <f t="shared" si="6"/>
        <v>2.5099999999999891</v>
      </c>
      <c r="B67" s="608" t="s">
        <v>1312</v>
      </c>
      <c r="C67" s="608">
        <f t="shared" ref="C67" si="25">-E67</f>
        <v>-755906.61</v>
      </c>
      <c r="D67" s="608">
        <f t="shared" ref="D67" si="26">-F67</f>
        <v>-666051.73</v>
      </c>
      <c r="E67" s="767">
        <v>755906.61</v>
      </c>
      <c r="F67" s="767">
        <v>666051.73</v>
      </c>
      <c r="G67" s="767">
        <f t="shared" si="18"/>
        <v>0</v>
      </c>
      <c r="H67" s="767"/>
      <c r="I67" s="767"/>
      <c r="J67" s="767"/>
      <c r="K67" s="767"/>
      <c r="L67" s="767"/>
      <c r="M67" s="767"/>
      <c r="N67" s="767"/>
      <c r="O67" s="767"/>
      <c r="P67" s="767"/>
      <c r="Q67" s="767"/>
      <c r="R67" s="767"/>
      <c r="S67" s="767"/>
    </row>
    <row r="68" spans="1:256">
      <c r="A68" s="784">
        <f t="shared" si="6"/>
        <v>2.5199999999999889</v>
      </c>
      <c r="B68" s="608" t="s">
        <v>921</v>
      </c>
      <c r="C68" s="608">
        <f t="shared" si="20"/>
        <v>0</v>
      </c>
      <c r="D68" s="608">
        <f t="shared" si="21"/>
        <v>0</v>
      </c>
      <c r="E68" s="767">
        <v>0</v>
      </c>
      <c r="F68" s="767">
        <v>0</v>
      </c>
      <c r="G68" s="767">
        <f t="shared" si="18"/>
        <v>0</v>
      </c>
      <c r="H68" s="767"/>
      <c r="I68" s="767"/>
      <c r="J68" s="767"/>
      <c r="K68" s="767"/>
      <c r="L68" s="767"/>
      <c r="M68" s="767"/>
      <c r="N68" s="767"/>
      <c r="O68" s="767"/>
      <c r="P68" s="767"/>
      <c r="Q68" s="767"/>
      <c r="R68" s="767"/>
      <c r="S68" s="767"/>
    </row>
    <row r="69" spans="1:256">
      <c r="A69" s="784">
        <f t="shared" si="6"/>
        <v>2.5299999999999887</v>
      </c>
      <c r="B69" s="608" t="s">
        <v>922</v>
      </c>
      <c r="C69" s="608">
        <f t="shared" ref="C69" si="27">-E69</f>
        <v>0</v>
      </c>
      <c r="D69" s="608">
        <f t="shared" ref="D69" si="28">-F69</f>
        <v>0</v>
      </c>
      <c r="E69" s="767">
        <v>0</v>
      </c>
      <c r="F69" s="767">
        <v>0</v>
      </c>
      <c r="G69" s="767">
        <f t="shared" ref="G69" si="29">ROUND(SUM(C69:F69)/2,0)</f>
        <v>0</v>
      </c>
      <c r="H69" s="767"/>
      <c r="I69" s="767"/>
      <c r="J69" s="767"/>
      <c r="K69" s="767"/>
      <c r="L69" s="767"/>
      <c r="M69" s="767"/>
      <c r="N69" s="767"/>
      <c r="O69" s="767"/>
      <c r="P69" s="767"/>
      <c r="Q69" s="767"/>
      <c r="R69" s="767"/>
      <c r="S69" s="767"/>
    </row>
    <row r="70" spans="1:256">
      <c r="A70" s="784">
        <f t="shared" si="6"/>
        <v>2.5399999999999885</v>
      </c>
      <c r="B70" s="608" t="s">
        <v>1170</v>
      </c>
      <c r="C70" s="608">
        <f t="shared" ref="C70" si="30">-E70</f>
        <v>324780.87</v>
      </c>
      <c r="D70" s="608">
        <f t="shared" ref="D70" si="31">-F70</f>
        <v>320229.93</v>
      </c>
      <c r="E70" s="767">
        <v>-324780.87</v>
      </c>
      <c r="F70" s="767">
        <v>-320229.93</v>
      </c>
      <c r="G70" s="767">
        <f t="shared" ref="G70" si="32">ROUND(SUM(C70:F70)/2,0)</f>
        <v>0</v>
      </c>
      <c r="H70" s="767"/>
      <c r="I70" s="767"/>
      <c r="J70" s="767"/>
      <c r="K70" s="767"/>
      <c r="L70" s="767"/>
      <c r="M70" s="767"/>
      <c r="N70" s="767"/>
      <c r="O70" s="767"/>
      <c r="P70" s="767"/>
      <c r="Q70" s="767"/>
      <c r="R70" s="767"/>
      <c r="S70" s="767"/>
    </row>
    <row r="71" spans="1:256">
      <c r="A71" s="784">
        <f t="shared" si="6"/>
        <v>2.5499999999999883</v>
      </c>
      <c r="B71" s="1174" t="s">
        <v>1252</v>
      </c>
      <c r="C71" s="1175">
        <f>SUM(M71:O71)</f>
        <v>20858.84</v>
      </c>
      <c r="D71" s="1175">
        <f>SUM(Q71:S71)</f>
        <v>27563.16</v>
      </c>
      <c r="E71" s="1175">
        <v>0</v>
      </c>
      <c r="F71" s="1175">
        <v>0</v>
      </c>
      <c r="G71" s="1175">
        <f>ROUND(SUM(C71:F71)/2,0)</f>
        <v>24211</v>
      </c>
      <c r="H71" s="1175"/>
      <c r="I71" s="1175">
        <f>(M71+Q71)/2</f>
        <v>24118.5</v>
      </c>
      <c r="J71" s="1175">
        <f>(N71+R71)/2</f>
        <v>92.5</v>
      </c>
      <c r="K71" s="1175">
        <f>(O71+S71)/2</f>
        <v>0</v>
      </c>
      <c r="L71" s="767"/>
      <c r="M71" s="608">
        <v>20858.84</v>
      </c>
      <c r="N71" s="608">
        <v>0</v>
      </c>
      <c r="O71" s="608">
        <v>0</v>
      </c>
      <c r="P71" s="767"/>
      <c r="Q71" s="608">
        <v>27378.16</v>
      </c>
      <c r="R71" s="608">
        <v>185</v>
      </c>
      <c r="S71" s="608"/>
    </row>
    <row r="72" spans="1:256">
      <c r="A72" s="597"/>
      <c r="B72" s="767"/>
      <c r="C72" s="767"/>
      <c r="D72" s="767"/>
      <c r="E72" s="767"/>
      <c r="F72" s="767"/>
      <c r="G72" s="767"/>
      <c r="H72" s="767"/>
      <c r="I72" s="767"/>
      <c r="J72" s="767"/>
      <c r="K72" s="767"/>
      <c r="L72" s="767"/>
      <c r="M72" s="767"/>
      <c r="N72" s="767"/>
      <c r="O72" s="767"/>
      <c r="P72" s="767"/>
      <c r="Q72" s="767"/>
      <c r="R72" s="767"/>
      <c r="S72" s="767"/>
    </row>
    <row r="73" spans="1:256" ht="13.5" thickBot="1">
      <c r="A73" s="1">
        <v>3</v>
      </c>
      <c r="B73" s="767" t="s">
        <v>733</v>
      </c>
      <c r="C73" s="776">
        <f>SUM(C17:C72)</f>
        <v>51781044.869999997</v>
      </c>
      <c r="D73" s="776">
        <f>SUM(D17:D72)</f>
        <v>62428568.260000005</v>
      </c>
      <c r="E73" s="776">
        <f>SUM(E17:E72)</f>
        <v>-39480430.409238316</v>
      </c>
      <c r="F73" s="776">
        <f>SUM(F17:F72)</f>
        <v>-48067797.39670001</v>
      </c>
      <c r="G73" s="776">
        <f>SUM(G17:G72)</f>
        <v>13330692</v>
      </c>
      <c r="H73" s="767"/>
      <c r="I73" s="776">
        <f>SUM(I17:I72)</f>
        <v>9726848.2367101219</v>
      </c>
      <c r="J73" s="776">
        <f>SUM(J17:J72)</f>
        <v>690632.04361059866</v>
      </c>
      <c r="K73" s="776">
        <f>SUM(K17:K72)</f>
        <v>2913212.3817101209</v>
      </c>
      <c r="L73" s="767"/>
      <c r="M73" s="776">
        <f>SUM(M17:M72)</f>
        <v>9135123.1728287153</v>
      </c>
      <c r="N73" s="776">
        <f>SUM(N17:N72)</f>
        <v>511210.44510424871</v>
      </c>
      <c r="O73" s="776">
        <f>SUM(O17:O72)</f>
        <v>2654280.842828718</v>
      </c>
      <c r="P73" s="767"/>
      <c r="Q73" s="776">
        <f>SUM(Q17:Q72)</f>
        <v>10318573.300591525</v>
      </c>
      <c r="R73" s="776">
        <f>SUM(R17:R72)</f>
        <v>870053.64211694861</v>
      </c>
      <c r="S73" s="776">
        <f>SUM(S17:S72)</f>
        <v>3172143.9205915234</v>
      </c>
    </row>
    <row r="74" spans="1:256" ht="13.5" thickTop="1">
      <c r="A74" s="1">
        <v>4</v>
      </c>
      <c r="B74" s="18" t="s">
        <v>736</v>
      </c>
      <c r="C74" s="772">
        <f t="shared" ref="C74" si="33">C55+C42</f>
        <v>6721555.8799999999</v>
      </c>
      <c r="D74" s="772">
        <f>D55+D42</f>
        <v>6468040.6800000006</v>
      </c>
      <c r="E74" s="772">
        <f t="shared" ref="E74:G74" si="34">E55+E42</f>
        <v>0</v>
      </c>
      <c r="F74" s="772">
        <f t="shared" si="34"/>
        <v>0</v>
      </c>
      <c r="G74" s="772">
        <f t="shared" si="34"/>
        <v>6594798</v>
      </c>
      <c r="H74" s="3"/>
      <c r="I74" s="772">
        <f t="shared" ref="I74:K74" si="35">I55+I42</f>
        <v>6544025</v>
      </c>
      <c r="J74" s="772">
        <f t="shared" si="35"/>
        <v>27329.474999999999</v>
      </c>
      <c r="K74" s="772">
        <f t="shared" si="35"/>
        <v>23443.805</v>
      </c>
      <c r="L74" s="3"/>
      <c r="M74" s="772">
        <f t="shared" ref="M74:O74" si="36">M55+M42</f>
        <v>6649898.2000000002</v>
      </c>
      <c r="N74" s="772">
        <f t="shared" si="36"/>
        <v>26662.79</v>
      </c>
      <c r="O74" s="772">
        <f t="shared" si="36"/>
        <v>44994.89</v>
      </c>
      <c r="P74" s="3"/>
      <c r="Q74" s="772">
        <f t="shared" ref="Q74:S74" si="37">Q55+Q42</f>
        <v>6438151.8000000007</v>
      </c>
      <c r="R74" s="772">
        <f t="shared" si="37"/>
        <v>27996.16</v>
      </c>
      <c r="S74" s="772">
        <f t="shared" si="37"/>
        <v>1892.72</v>
      </c>
      <c r="T74" s="3"/>
      <c r="IV74" s="767"/>
    </row>
    <row r="75" spans="1:256">
      <c r="I75" s="767"/>
    </row>
    <row r="111" spans="7:7">
      <c r="G111">
        <v>0</v>
      </c>
    </row>
    <row r="128" spans="7:12">
      <c r="G128" s="962"/>
      <c r="L128" s="962"/>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pageSetUpPr fitToPage="1"/>
  </sheetPr>
  <dimension ref="A1:W111"/>
  <sheetViews>
    <sheetView tabSelected="1" zoomScale="85" zoomScaleNormal="85" workbookViewId="0">
      <pane ySplit="10" topLeftCell="A29" activePane="bottomLeft" state="frozen"/>
      <selection activeCell="D3" sqref="D3"/>
      <selection pane="bottomLeft" activeCell="D3" sqref="D3"/>
    </sheetView>
  </sheetViews>
  <sheetFormatPr defaultColWidth="10" defaultRowHeight="12"/>
  <cols>
    <col min="1" max="1" width="9.42578125" style="997" customWidth="1"/>
    <col min="2" max="2" width="20.85546875" style="1017" customWidth="1"/>
    <col min="3" max="3" width="35.5703125" style="997" customWidth="1"/>
    <col min="4" max="4" width="12.85546875" style="997" customWidth="1"/>
    <col min="5" max="5" width="10.42578125" style="997" customWidth="1"/>
    <col min="6" max="6" width="16.42578125" style="997" customWidth="1"/>
    <col min="7" max="7" width="12" style="997" customWidth="1"/>
    <col min="8" max="8" width="14.28515625" style="997" bestFit="1" customWidth="1"/>
    <col min="9" max="9" width="18.85546875" style="997" customWidth="1"/>
    <col min="10" max="10" width="15.5703125" style="997" customWidth="1"/>
    <col min="11" max="11" width="16.140625" style="997" customWidth="1"/>
    <col min="12" max="13" width="15" style="997" customWidth="1"/>
    <col min="14" max="14" width="13.5703125" style="997" customWidth="1"/>
    <col min="15" max="15" width="15" style="997" customWidth="1"/>
    <col min="16" max="17" width="17.5703125" style="997" customWidth="1"/>
    <col min="18" max="18" width="33" style="997" customWidth="1"/>
    <col min="19" max="19" width="15" style="997" customWidth="1"/>
    <col min="20" max="21" width="14.5703125" style="997" bestFit="1" customWidth="1"/>
    <col min="22" max="22" width="10.5703125" style="997" bestFit="1" customWidth="1"/>
    <col min="23" max="16384" width="10" style="997"/>
  </cols>
  <sheetData>
    <row r="1" spans="1:23" ht="12.75">
      <c r="A1" s="997" t="s">
        <v>928</v>
      </c>
      <c r="R1" s="1018"/>
    </row>
    <row r="2" spans="1:23" ht="15" customHeight="1">
      <c r="A2" s="997" t="s">
        <v>929</v>
      </c>
      <c r="R2" s="1018"/>
      <c r="V2" s="1019"/>
    </row>
    <row r="3" spans="1:23" ht="12.75">
      <c r="A3" s="997" t="s">
        <v>930</v>
      </c>
      <c r="R3" s="1018"/>
      <c r="V3" s="994"/>
    </row>
    <row r="4" spans="1:23">
      <c r="A4" s="997" t="s">
        <v>1304</v>
      </c>
      <c r="G4" s="995"/>
    </row>
    <row r="5" spans="1:23">
      <c r="A5" s="997" t="s">
        <v>931</v>
      </c>
      <c r="I5" s="1020"/>
      <c r="J5" s="1020"/>
      <c r="P5" s="1020"/>
      <c r="Q5" s="1020"/>
    </row>
    <row r="6" spans="1:23">
      <c r="J6" s="1020"/>
      <c r="K6" s="996"/>
      <c r="L6" s="1017"/>
      <c r="M6" s="1017"/>
      <c r="N6" s="1017"/>
      <c r="O6" s="1017"/>
      <c r="P6" s="1017"/>
      <c r="Q6" s="1017"/>
    </row>
    <row r="7" spans="1:23">
      <c r="B7" s="1021"/>
      <c r="C7" s="1021"/>
      <c r="D7" s="1021"/>
      <c r="E7" s="1021"/>
      <c r="F7" s="1021"/>
      <c r="G7" s="1021"/>
      <c r="H7" s="1021"/>
      <c r="I7" s="1021"/>
      <c r="J7" s="1021"/>
      <c r="K7" s="1021"/>
      <c r="L7" s="1021"/>
      <c r="M7" s="1021"/>
      <c r="N7" s="1021"/>
      <c r="O7" s="1021"/>
      <c r="P7" s="1021"/>
      <c r="Q7" s="1017"/>
    </row>
    <row r="8" spans="1:23">
      <c r="A8" s="1017" t="s">
        <v>148</v>
      </c>
      <c r="B8" s="1017" t="s">
        <v>149</v>
      </c>
      <c r="C8" s="1017" t="s">
        <v>150</v>
      </c>
      <c r="D8" s="1017" t="s">
        <v>151</v>
      </c>
      <c r="E8" s="1017" t="s">
        <v>152</v>
      </c>
      <c r="F8" s="1017" t="s">
        <v>153</v>
      </c>
      <c r="G8" s="1017" t="s">
        <v>154</v>
      </c>
      <c r="H8" s="1017" t="s">
        <v>155</v>
      </c>
      <c r="I8" s="1017" t="s">
        <v>932</v>
      </c>
      <c r="J8" s="1017" t="s">
        <v>933</v>
      </c>
      <c r="K8" s="1017" t="s">
        <v>158</v>
      </c>
      <c r="L8" s="1017" t="s">
        <v>159</v>
      </c>
      <c r="M8" s="1017" t="s">
        <v>160</v>
      </c>
      <c r="N8" s="1017" t="s">
        <v>245</v>
      </c>
      <c r="O8" s="1017" t="s">
        <v>304</v>
      </c>
      <c r="P8" s="1017" t="s">
        <v>350</v>
      </c>
      <c r="Q8" s="1017" t="s">
        <v>351</v>
      </c>
      <c r="R8" s="1017" t="s">
        <v>352</v>
      </c>
    </row>
    <row r="9" spans="1:23" ht="14.45" customHeight="1">
      <c r="A9" s="1022" t="s">
        <v>934</v>
      </c>
      <c r="B9"/>
      <c r="C9"/>
      <c r="D9"/>
      <c r="E9"/>
      <c r="I9" s="1267" t="s">
        <v>1305</v>
      </c>
      <c r="J9" s="1267"/>
      <c r="K9" s="1268" t="s">
        <v>935</v>
      </c>
      <c r="L9" s="1268"/>
      <c r="M9" s="1268"/>
      <c r="N9" s="1269" t="s">
        <v>936</v>
      </c>
      <c r="O9" s="1269"/>
      <c r="P9" s="1267" t="s">
        <v>1306</v>
      </c>
      <c r="Q9" s="1267"/>
    </row>
    <row r="10" spans="1:23" ht="72">
      <c r="A10" s="1023" t="s">
        <v>937</v>
      </c>
      <c r="B10" s="1025" t="s">
        <v>1096</v>
      </c>
      <c r="C10" s="1024" t="s">
        <v>938</v>
      </c>
      <c r="D10" s="1025" t="s">
        <v>939</v>
      </c>
      <c r="E10" s="1025" t="s">
        <v>940</v>
      </c>
      <c r="F10" s="1025" t="s">
        <v>1097</v>
      </c>
      <c r="G10" s="1025" t="s">
        <v>1098</v>
      </c>
      <c r="H10" s="1025" t="s">
        <v>941</v>
      </c>
      <c r="I10" s="1026" t="s">
        <v>1099</v>
      </c>
      <c r="J10" s="1026" t="s">
        <v>1100</v>
      </c>
      <c r="K10" s="1025" t="s">
        <v>942</v>
      </c>
      <c r="L10" s="1108" t="s">
        <v>1104</v>
      </c>
      <c r="M10" s="1108" t="s">
        <v>1128</v>
      </c>
      <c r="N10" s="1025" t="s">
        <v>1101</v>
      </c>
      <c r="O10" s="1025" t="s">
        <v>943</v>
      </c>
      <c r="P10" s="1026" t="s">
        <v>1102</v>
      </c>
      <c r="Q10" s="1026" t="s">
        <v>1103</v>
      </c>
      <c r="R10" s="1027" t="s">
        <v>944</v>
      </c>
    </row>
    <row r="11" spans="1:23">
      <c r="B11" s="997"/>
      <c r="D11" s="1028"/>
      <c r="E11" s="1028"/>
      <c r="F11" s="1028"/>
      <c r="G11" s="1028"/>
      <c r="H11" s="1028"/>
      <c r="I11" s="1028"/>
      <c r="J11" s="1028"/>
      <c r="K11" s="1028"/>
      <c r="L11" s="1028"/>
      <c r="M11" s="1028"/>
      <c r="N11" s="1028"/>
      <c r="O11" s="1028"/>
      <c r="P11" s="1270" t="s">
        <v>945</v>
      </c>
      <c r="Q11" s="1270"/>
      <c r="R11" s="1029"/>
    </row>
    <row r="12" spans="1:23" ht="12.75">
      <c r="B12" s="1030" t="s">
        <v>946</v>
      </c>
      <c r="C12" s="1031"/>
      <c r="D12" s="1031"/>
      <c r="E12" s="1031"/>
      <c r="F12" s="1031"/>
      <c r="G12" s="1031"/>
      <c r="H12" s="1031"/>
      <c r="I12" s="1031"/>
      <c r="J12" s="1031"/>
      <c r="K12" s="1031"/>
      <c r="L12" s="1031"/>
      <c r="M12" s="1031"/>
      <c r="N12" s="1031"/>
      <c r="O12" s="1031"/>
      <c r="P12" s="1031"/>
      <c r="Q12" s="1031"/>
      <c r="R12" s="994"/>
      <c r="S12"/>
      <c r="T12" s="994"/>
      <c r="U12" s="994"/>
      <c r="V12" s="994"/>
      <c r="W12" s="994"/>
    </row>
    <row r="13" spans="1:23" ht="12.75">
      <c r="A13" s="1113" t="s">
        <v>947</v>
      </c>
      <c r="B13" s="1032" t="s">
        <v>948</v>
      </c>
      <c r="C13" s="997" t="s">
        <v>949</v>
      </c>
      <c r="D13" s="997" t="s">
        <v>1334</v>
      </c>
      <c r="E13" s="997" t="s">
        <v>950</v>
      </c>
      <c r="F13" s="1017"/>
      <c r="I13" s="998">
        <v>17641237.920747057</v>
      </c>
      <c r="J13" s="1033"/>
      <c r="K13" s="998"/>
      <c r="L13" s="998"/>
      <c r="M13" s="998">
        <v>-4730306.88</v>
      </c>
      <c r="N13" s="998"/>
      <c r="O13" s="998"/>
      <c r="P13" s="1034">
        <f>SUM(I13:O13)</f>
        <v>12910931.040747058</v>
      </c>
      <c r="Q13" s="1035"/>
      <c r="R13" s="999" t="s">
        <v>1108</v>
      </c>
      <c r="S13"/>
      <c r="T13" s="994"/>
      <c r="U13" s="994"/>
      <c r="V13" s="994"/>
      <c r="W13" s="994"/>
    </row>
    <row r="14" spans="1:23" ht="12.75">
      <c r="A14" s="1113" t="s">
        <v>951</v>
      </c>
      <c r="B14" s="1032" t="s">
        <v>1105</v>
      </c>
      <c r="C14" s="997" t="s">
        <v>949</v>
      </c>
      <c r="D14" s="997" t="s">
        <v>964</v>
      </c>
      <c r="E14" s="1113" t="s">
        <v>1115</v>
      </c>
      <c r="F14" s="1017"/>
      <c r="I14" s="998">
        <v>5011.1387280965282</v>
      </c>
      <c r="J14" s="1033"/>
      <c r="K14" s="998"/>
      <c r="L14" s="998"/>
      <c r="M14" s="998">
        <v>-713.77</v>
      </c>
      <c r="N14" s="998"/>
      <c r="O14" s="998"/>
      <c r="P14" s="1034">
        <f>SUM(I14:O14)</f>
        <v>4297.3687280965278</v>
      </c>
      <c r="Q14" s="1035"/>
      <c r="R14" s="999"/>
      <c r="S14"/>
      <c r="T14" s="994"/>
      <c r="U14" s="994"/>
      <c r="V14" s="994"/>
      <c r="W14" s="994"/>
    </row>
    <row r="15" spans="1:23" ht="12.75">
      <c r="A15" s="1113" t="s">
        <v>955</v>
      </c>
      <c r="B15" s="1032" t="s">
        <v>952</v>
      </c>
      <c r="C15" s="1021" t="s">
        <v>953</v>
      </c>
      <c r="D15" s="1021" t="s">
        <v>1334</v>
      </c>
      <c r="E15" s="997" t="s">
        <v>950</v>
      </c>
      <c r="F15" s="1036">
        <v>-21108640</v>
      </c>
      <c r="G15" s="1022" t="s">
        <v>961</v>
      </c>
      <c r="H15" s="1022" t="s">
        <v>962</v>
      </c>
      <c r="I15" s="1109"/>
      <c r="J15" s="999">
        <v>-16719555.598156041</v>
      </c>
      <c r="K15" s="1000"/>
      <c r="L15" s="1000"/>
      <c r="M15" s="1000"/>
      <c r="N15" s="1000">
        <v>620254.43111551797</v>
      </c>
      <c r="O15" s="1000"/>
      <c r="P15" s="1035"/>
      <c r="Q15" s="1034">
        <f>SUM(J15:P15)</f>
        <v>-16099301.167040523</v>
      </c>
      <c r="R15" s="999" t="s">
        <v>630</v>
      </c>
      <c r="S15"/>
      <c r="T15" s="994"/>
      <c r="U15" s="994"/>
      <c r="V15" s="994"/>
      <c r="W15" s="994"/>
    </row>
    <row r="16" spans="1:23" ht="12.75">
      <c r="A16" s="1113" t="s">
        <v>958</v>
      </c>
      <c r="B16" s="1032" t="s">
        <v>956</v>
      </c>
      <c r="C16" s="1021" t="s">
        <v>957</v>
      </c>
      <c r="D16" s="1021" t="s">
        <v>954</v>
      </c>
      <c r="E16" s="997" t="s">
        <v>950</v>
      </c>
      <c r="F16" s="1017"/>
      <c r="I16" s="1110">
        <v>16719553.598156041</v>
      </c>
      <c r="J16" s="1035"/>
      <c r="K16" s="1000"/>
      <c r="L16" s="1000"/>
      <c r="M16" s="1000">
        <v>-620254.43111551797</v>
      </c>
      <c r="N16" s="1000"/>
      <c r="O16" s="1000"/>
      <c r="P16" s="1034">
        <f>SUM(I16:O16)</f>
        <v>16099299.167040523</v>
      </c>
      <c r="Q16" s="1035"/>
      <c r="R16" s="999" t="s">
        <v>1007</v>
      </c>
      <c r="S16"/>
      <c r="T16" s="994"/>
      <c r="U16" s="994"/>
      <c r="V16" s="994"/>
      <c r="W16" s="994"/>
    </row>
    <row r="17" spans="1:23" ht="12.75">
      <c r="A17" s="1113" t="s">
        <v>963</v>
      </c>
      <c r="B17" s="1032" t="s">
        <v>959</v>
      </c>
      <c r="C17" s="997" t="s">
        <v>960</v>
      </c>
      <c r="D17" s="997" t="s">
        <v>954</v>
      </c>
      <c r="E17" s="997" t="s">
        <v>950</v>
      </c>
      <c r="F17" s="1036">
        <v>-42122240</v>
      </c>
      <c r="G17" s="1022" t="s">
        <v>961</v>
      </c>
      <c r="H17" s="1022" t="s">
        <v>962</v>
      </c>
      <c r="I17" s="1109" t="s">
        <v>114</v>
      </c>
      <c r="J17" s="1001">
        <v>-33045522.54504396</v>
      </c>
      <c r="K17" s="1001"/>
      <c r="L17" s="1001"/>
      <c r="M17" s="1001"/>
      <c r="N17" s="1001">
        <v>917922.56888448203</v>
      </c>
      <c r="O17" s="1001"/>
      <c r="P17" s="1037" t="s">
        <v>114</v>
      </c>
      <c r="Q17" s="1002">
        <f>SUM(J17:O17)</f>
        <v>-32127599.976159479</v>
      </c>
      <c r="R17" s="1265" t="s">
        <v>1011</v>
      </c>
      <c r="S17"/>
      <c r="T17" s="994"/>
      <c r="U17" s="994"/>
      <c r="V17" s="994"/>
      <c r="W17" s="994"/>
    </row>
    <row r="18" spans="1:23" ht="12.75">
      <c r="A18" s="1113" t="s">
        <v>967</v>
      </c>
      <c r="B18" s="1032" t="s">
        <v>959</v>
      </c>
      <c r="C18" s="997" t="s">
        <v>960</v>
      </c>
      <c r="D18" s="997" t="s">
        <v>964</v>
      </c>
      <c r="E18" s="997" t="s">
        <v>950</v>
      </c>
      <c r="F18" s="1003">
        <v>-21950878</v>
      </c>
      <c r="G18" s="1022" t="s">
        <v>965</v>
      </c>
      <c r="H18" s="1022" t="s">
        <v>966</v>
      </c>
      <c r="I18" s="1109"/>
      <c r="J18" s="1000">
        <v>-623741.12790675461</v>
      </c>
      <c r="K18" s="1000"/>
      <c r="L18" s="1000"/>
      <c r="M18" s="1000"/>
      <c r="N18" s="1000">
        <v>207990.01096591013</v>
      </c>
      <c r="O18" s="1000"/>
      <c r="P18" s="1038"/>
      <c r="Q18" s="1004">
        <f>SUM(J18:O18)</f>
        <v>-415751.11694084445</v>
      </c>
      <c r="R18" s="1265"/>
      <c r="S18"/>
      <c r="T18" s="994"/>
      <c r="U18" s="994"/>
      <c r="V18" s="994"/>
      <c r="W18" s="994"/>
    </row>
    <row r="19" spans="1:23" ht="12.75">
      <c r="A19" s="1113" t="s">
        <v>970</v>
      </c>
      <c r="B19" s="1032" t="s">
        <v>968</v>
      </c>
      <c r="C19" s="997" t="s">
        <v>969</v>
      </c>
      <c r="D19" s="997" t="s">
        <v>954</v>
      </c>
      <c r="E19" s="997" t="s">
        <v>950</v>
      </c>
      <c r="F19" s="1003"/>
      <c r="G19" s="1022"/>
      <c r="H19" s="1022"/>
      <c r="I19" s="1000">
        <v>33045294.54504396</v>
      </c>
      <c r="J19" s="1035"/>
      <c r="K19" s="1000"/>
      <c r="L19" s="1000"/>
      <c r="M19" s="1001">
        <v>-917922.56888448203</v>
      </c>
      <c r="N19" s="1000"/>
      <c r="O19" s="1000"/>
      <c r="P19" s="1039">
        <f>SUM(I19:O19)</f>
        <v>32127371.976159479</v>
      </c>
      <c r="Q19" s="1040"/>
      <c r="R19" s="1271" t="s">
        <v>1109</v>
      </c>
      <c r="S19"/>
      <c r="T19" s="994"/>
      <c r="U19" s="994"/>
      <c r="V19" s="994"/>
      <c r="W19" s="994"/>
    </row>
    <row r="20" spans="1:23" ht="12.75">
      <c r="A20" s="1113" t="s">
        <v>971</v>
      </c>
      <c r="B20" s="1032" t="s">
        <v>968</v>
      </c>
      <c r="C20" s="997" t="s">
        <v>969</v>
      </c>
      <c r="D20" s="997" t="s">
        <v>964</v>
      </c>
      <c r="E20" s="997" t="s">
        <v>950</v>
      </c>
      <c r="F20" s="1003"/>
      <c r="G20" s="1022"/>
      <c r="H20" s="1022"/>
      <c r="I20" s="1000">
        <v>623966.12790675461</v>
      </c>
      <c r="J20" s="1035"/>
      <c r="K20" s="1000"/>
      <c r="L20" s="1000"/>
      <c r="M20" s="1000">
        <v>-207990.01096591013</v>
      </c>
      <c r="N20" s="1000"/>
      <c r="O20" s="1000"/>
      <c r="P20" s="1039">
        <f>SUM(I20:O20)</f>
        <v>415976.11694084445</v>
      </c>
      <c r="Q20" s="1040"/>
      <c r="R20" s="1271"/>
      <c r="S20"/>
      <c r="T20" s="994"/>
      <c r="U20" s="994"/>
      <c r="V20" s="994"/>
      <c r="W20" s="994"/>
    </row>
    <row r="21" spans="1:23" ht="12.75">
      <c r="A21" s="1113" t="s">
        <v>974</v>
      </c>
      <c r="B21" s="1032" t="s">
        <v>972</v>
      </c>
      <c r="C21" s="997" t="s">
        <v>973</v>
      </c>
      <c r="D21" s="997" t="s">
        <v>964</v>
      </c>
      <c r="E21" s="997" t="s">
        <v>950</v>
      </c>
      <c r="F21" s="1003">
        <v>-3151603</v>
      </c>
      <c r="G21" s="1022" t="s">
        <v>965</v>
      </c>
      <c r="H21" s="1022" t="s">
        <v>966</v>
      </c>
      <c r="I21" s="1109" t="s">
        <v>114</v>
      </c>
      <c r="J21" s="1000">
        <v>461593.88921098155</v>
      </c>
      <c r="K21" s="1000"/>
      <c r="L21" s="1000"/>
      <c r="M21" s="1000"/>
      <c r="N21" s="1000">
        <v>-388654.42266049859</v>
      </c>
      <c r="O21" s="1000"/>
      <c r="P21" s="1038" t="s">
        <v>114</v>
      </c>
      <c r="Q21" s="1004">
        <f>SUM(J21:O21)</f>
        <v>72939.466550482961</v>
      </c>
      <c r="R21" s="1005" t="s">
        <v>1110</v>
      </c>
      <c r="S21"/>
      <c r="T21" s="994"/>
      <c r="U21" s="994"/>
      <c r="V21" s="994"/>
      <c r="W21" s="994"/>
    </row>
    <row r="22" spans="1:23" ht="12.75">
      <c r="A22" s="1113" t="s">
        <v>977</v>
      </c>
      <c r="B22" s="1032" t="s">
        <v>972</v>
      </c>
      <c r="C22" s="997" t="s">
        <v>1107</v>
      </c>
      <c r="D22" s="997" t="s">
        <v>964</v>
      </c>
      <c r="E22" s="1113" t="s">
        <v>1115</v>
      </c>
      <c r="F22" s="1003"/>
      <c r="G22" s="1022"/>
      <c r="H22" s="1022"/>
      <c r="I22" s="1109"/>
      <c r="J22" s="1000">
        <v>15222</v>
      </c>
      <c r="K22" s="1000"/>
      <c r="L22" s="1000"/>
      <c r="M22" s="1000"/>
      <c r="N22" s="1000">
        <v>-1691.3600963444144</v>
      </c>
      <c r="O22" s="1000"/>
      <c r="P22" s="1038"/>
      <c r="Q22" s="1004">
        <f>SUM(J22:O22)</f>
        <v>13530.639903655585</v>
      </c>
      <c r="R22" s="1005"/>
      <c r="S22"/>
      <c r="T22" s="994"/>
      <c r="U22" s="994"/>
      <c r="V22" s="994"/>
      <c r="W22" s="994"/>
    </row>
    <row r="23" spans="1:23" ht="12.75">
      <c r="A23" s="1113" t="s">
        <v>1116</v>
      </c>
      <c r="B23" s="1112" t="s">
        <v>1113</v>
      </c>
      <c r="C23" s="1113" t="s">
        <v>1114</v>
      </c>
      <c r="D23" s="997" t="s">
        <v>964</v>
      </c>
      <c r="E23" s="1113" t="s">
        <v>1115</v>
      </c>
      <c r="F23" s="1003"/>
      <c r="G23" s="1022"/>
      <c r="H23" s="1022"/>
      <c r="I23" s="1109"/>
      <c r="J23" s="1000">
        <v>-72486.861271903472</v>
      </c>
      <c r="K23" s="1000"/>
      <c r="L23" s="1000"/>
      <c r="M23" s="1000"/>
      <c r="N23" s="1000">
        <v>8054.0956968781647</v>
      </c>
      <c r="O23" s="1000"/>
      <c r="P23" s="1038"/>
      <c r="Q23" s="1004">
        <f>SUM(J23:O23)</f>
        <v>-64432.765575025303</v>
      </c>
      <c r="R23" s="1005"/>
      <c r="S23"/>
      <c r="T23" s="994"/>
      <c r="U23" s="994"/>
      <c r="V23" s="994"/>
      <c r="W23" s="994"/>
    </row>
    <row r="24" spans="1:23" ht="12.75">
      <c r="A24" s="1113" t="s">
        <v>1117</v>
      </c>
      <c r="B24" s="1032" t="s">
        <v>975</v>
      </c>
      <c r="C24" s="997" t="s">
        <v>976</v>
      </c>
      <c r="D24" s="997" t="s">
        <v>964</v>
      </c>
      <c r="E24" s="997" t="s">
        <v>950</v>
      </c>
      <c r="F24" s="1036"/>
      <c r="G24" s="1022"/>
      <c r="H24" s="1022"/>
      <c r="I24" s="1000">
        <v>-461595.88921098155</v>
      </c>
      <c r="J24" s="1040"/>
      <c r="K24" s="1000"/>
      <c r="L24" s="1000"/>
      <c r="M24" s="1000">
        <v>388654.42266049859</v>
      </c>
      <c r="N24" s="1000"/>
      <c r="O24" s="1000"/>
      <c r="P24" s="1039">
        <f>SUM(I24:O24)</f>
        <v>-72941.466550482961</v>
      </c>
      <c r="Q24" s="1038"/>
      <c r="R24" s="1006" t="s">
        <v>1111</v>
      </c>
      <c r="S24"/>
      <c r="T24" s="994"/>
      <c r="U24" s="994"/>
      <c r="V24" s="994"/>
      <c r="W24" s="994"/>
    </row>
    <row r="25" spans="1:23" ht="12.75">
      <c r="A25" s="1113" t="s">
        <v>1118</v>
      </c>
      <c r="B25" s="1032" t="s">
        <v>1106</v>
      </c>
      <c r="C25" s="997" t="s">
        <v>976</v>
      </c>
      <c r="D25" s="997" t="s">
        <v>964</v>
      </c>
      <c r="E25" s="1113" t="s">
        <v>1115</v>
      </c>
      <c r="F25" s="1036"/>
      <c r="G25" s="1022"/>
      <c r="H25" s="1022"/>
      <c r="I25" s="1000">
        <v>72486.861271903472</v>
      </c>
      <c r="J25" s="1040"/>
      <c r="K25" s="1000"/>
      <c r="L25" s="1000"/>
      <c r="M25" s="1000">
        <v>-8054.0956968781647</v>
      </c>
      <c r="N25" s="1000"/>
      <c r="O25" s="1000"/>
      <c r="P25" s="1039">
        <f>SUM(I25:O25)</f>
        <v>64432.765575025303</v>
      </c>
      <c r="Q25" s="1038"/>
      <c r="R25" s="1006"/>
      <c r="S25"/>
      <c r="T25" s="994"/>
      <c r="U25" s="994"/>
      <c r="V25" s="994"/>
      <c r="W25" s="994"/>
    </row>
    <row r="26" spans="1:23" ht="12.75">
      <c r="A26" s="1206" t="s">
        <v>1119</v>
      </c>
      <c r="B26" s="1112" t="s">
        <v>1067</v>
      </c>
      <c r="C26" s="1113" t="s">
        <v>1328</v>
      </c>
      <c r="D26" s="1113" t="s">
        <v>964</v>
      </c>
      <c r="E26" s="1113" t="s">
        <v>950</v>
      </c>
      <c r="F26" s="1207"/>
      <c r="G26" s="1208"/>
      <c r="H26" s="1208"/>
      <c r="I26" s="1209"/>
      <c r="J26" s="1210"/>
      <c r="K26" s="1210"/>
      <c r="L26" s="1210"/>
      <c r="M26" s="1210"/>
      <c r="N26" s="1210">
        <v>234789.07169458846</v>
      </c>
      <c r="O26" s="1210"/>
      <c r="P26" s="1211"/>
      <c r="Q26" s="1212">
        <f>SUM(J26:O26)</f>
        <v>234789.07169458846</v>
      </c>
      <c r="R26" s="1006"/>
      <c r="S26"/>
      <c r="T26" s="994"/>
      <c r="U26" s="994"/>
      <c r="V26" s="994"/>
      <c r="W26" s="994"/>
    </row>
    <row r="27" spans="1:23" ht="12.75">
      <c r="A27" s="1206" t="s">
        <v>1329</v>
      </c>
      <c r="B27" s="1112" t="s">
        <v>1330</v>
      </c>
      <c r="C27" s="1113" t="s">
        <v>949</v>
      </c>
      <c r="D27" s="1113" t="s">
        <v>964</v>
      </c>
      <c r="E27" s="1113" t="s">
        <v>950</v>
      </c>
      <c r="F27" s="1207"/>
      <c r="G27" s="1208"/>
      <c r="H27" s="1208"/>
      <c r="I27" s="1210"/>
      <c r="J27" s="1209"/>
      <c r="K27" s="1210"/>
      <c r="L27" s="1210">
        <v>-234789.07169458846</v>
      </c>
      <c r="M27" s="1210"/>
      <c r="N27" s="1210"/>
      <c r="O27" s="1210"/>
      <c r="P27" s="1212">
        <f t="shared" ref="P27:P30" si="0">SUM(I27:O27)</f>
        <v>-234789.07169458846</v>
      </c>
      <c r="Q27" s="1211"/>
      <c r="R27" s="1006"/>
      <c r="S27"/>
      <c r="T27" s="994"/>
      <c r="U27" s="994"/>
      <c r="V27" s="994"/>
      <c r="W27" s="994"/>
    </row>
    <row r="28" spans="1:23" ht="12.75">
      <c r="A28" s="1206" t="s">
        <v>1331</v>
      </c>
      <c r="B28" s="1112" t="s">
        <v>1332</v>
      </c>
      <c r="C28" s="1113" t="s">
        <v>1333</v>
      </c>
      <c r="D28" s="1113" t="s">
        <v>1334</v>
      </c>
      <c r="E28" s="1113" t="s">
        <v>1115</v>
      </c>
      <c r="F28" s="1207"/>
      <c r="G28" s="1208"/>
      <c r="H28" s="1208"/>
      <c r="I28" s="1210"/>
      <c r="J28" s="1209"/>
      <c r="K28" s="1210"/>
      <c r="L28" s="1210"/>
      <c r="M28" s="1210">
        <v>4100841.91</v>
      </c>
      <c r="N28" s="1210"/>
      <c r="O28" s="1210"/>
      <c r="P28" s="1212">
        <f t="shared" si="0"/>
        <v>4100841.91</v>
      </c>
      <c r="Q28" s="1211"/>
      <c r="R28" s="1006"/>
      <c r="S28"/>
      <c r="T28" s="994"/>
      <c r="U28" s="994"/>
      <c r="V28" s="994"/>
      <c r="W28" s="994"/>
    </row>
    <row r="29" spans="1:23" ht="12.75">
      <c r="A29" s="1206" t="s">
        <v>1335</v>
      </c>
      <c r="B29" s="1112" t="s">
        <v>1336</v>
      </c>
      <c r="C29" s="1113" t="s">
        <v>1337</v>
      </c>
      <c r="D29" s="1113" t="s">
        <v>964</v>
      </c>
      <c r="E29" s="1113" t="s">
        <v>950</v>
      </c>
      <c r="F29" s="1207"/>
      <c r="G29" s="1208"/>
      <c r="H29" s="1208"/>
      <c r="I29" s="1210"/>
      <c r="J29" s="1209"/>
      <c r="K29" s="1210"/>
      <c r="L29" s="1210">
        <v>-62412.284880839929</v>
      </c>
      <c r="M29" s="1210"/>
      <c r="N29" s="1210"/>
      <c r="O29" s="1210"/>
      <c r="P29" s="1212">
        <f t="shared" si="0"/>
        <v>-62412.284880839929</v>
      </c>
      <c r="Q29" s="1211"/>
      <c r="R29" s="1006"/>
      <c r="S29"/>
      <c r="T29" s="994"/>
      <c r="U29" s="994"/>
      <c r="V29" s="994"/>
      <c r="W29" s="994"/>
    </row>
    <row r="30" spans="1:23" ht="12.75">
      <c r="A30" s="1206" t="s">
        <v>1338</v>
      </c>
      <c r="B30" s="1112" t="s">
        <v>1339</v>
      </c>
      <c r="C30" s="1113" t="s">
        <v>1333</v>
      </c>
      <c r="D30" s="1113" t="s">
        <v>964</v>
      </c>
      <c r="E30" s="1113" t="s">
        <v>1115</v>
      </c>
      <c r="F30" s="1207"/>
      <c r="G30" s="1208"/>
      <c r="H30" s="1208"/>
      <c r="I30" s="1210"/>
      <c r="J30" s="1209"/>
      <c r="K30" s="1210"/>
      <c r="L30" s="1210">
        <v>-19823.741771691886</v>
      </c>
      <c r="M30" s="1210"/>
      <c r="N30" s="1210"/>
      <c r="O30" s="1210"/>
      <c r="P30" s="1212">
        <f t="shared" si="0"/>
        <v>-19823.741771691886</v>
      </c>
      <c r="Q30" s="1211"/>
      <c r="R30" s="1006"/>
      <c r="S30"/>
      <c r="T30" s="994"/>
      <c r="U30" s="994"/>
      <c r="V30" s="994"/>
      <c r="W30" s="994"/>
    </row>
    <row r="31" spans="1:23" ht="12.75">
      <c r="A31" s="1113" t="s">
        <v>1340</v>
      </c>
      <c r="B31" s="1022" t="s">
        <v>1095</v>
      </c>
      <c r="F31" s="1036"/>
      <c r="G31" s="1022"/>
      <c r="H31" s="1022"/>
      <c r="I31" s="1000"/>
      <c r="J31" s="1000"/>
      <c r="K31" s="1000"/>
      <c r="L31" s="1000"/>
      <c r="M31" s="1000"/>
      <c r="N31" s="1000"/>
      <c r="O31" s="1000"/>
      <c r="P31" s="1041"/>
      <c r="Q31" s="1039"/>
      <c r="R31" s="1006"/>
      <c r="S31"/>
      <c r="T31" s="994"/>
      <c r="U31" s="994"/>
      <c r="V31" s="994"/>
      <c r="W31" s="994"/>
    </row>
    <row r="32" spans="1:23" ht="12.75">
      <c r="B32"/>
      <c r="C32"/>
      <c r="D32"/>
      <c r="E32"/>
      <c r="F32"/>
      <c r="G32"/>
      <c r="H32"/>
      <c r="I32"/>
      <c r="J32"/>
      <c r="K32"/>
      <c r="L32"/>
      <c r="M32"/>
      <c r="N32"/>
      <c r="O32"/>
      <c r="P32" s="1042"/>
      <c r="Q32"/>
      <c r="R32"/>
      <c r="S32"/>
      <c r="T32" s="994"/>
      <c r="U32" s="994"/>
      <c r="V32" s="994"/>
      <c r="W32" s="994"/>
    </row>
    <row r="33" spans="1:23" s="994" customFormat="1" ht="12.75">
      <c r="A33" s="997"/>
      <c r="B33" s="1030" t="s">
        <v>978</v>
      </c>
      <c r="R33" s="1007"/>
      <c r="S33"/>
    </row>
    <row r="34" spans="1:23" ht="11.45" customHeight="1">
      <c r="A34" s="1113" t="s">
        <v>979</v>
      </c>
      <c r="B34" s="1032">
        <v>182.3</v>
      </c>
      <c r="C34" s="1043" t="s">
        <v>980</v>
      </c>
      <c r="D34" s="1035" t="s">
        <v>114</v>
      </c>
      <c r="E34" s="997" t="s">
        <v>950</v>
      </c>
      <c r="F34" s="1035"/>
      <c r="G34" s="1035" t="s">
        <v>114</v>
      </c>
      <c r="H34" s="1035"/>
      <c r="I34" s="1008">
        <v>0</v>
      </c>
      <c r="J34" s="1035"/>
      <c r="K34" s="1000"/>
      <c r="L34" s="1000">
        <v>317025.09834712028</v>
      </c>
      <c r="M34" s="1000"/>
      <c r="N34" s="1035"/>
      <c r="O34" s="1035"/>
      <c r="P34" s="1041">
        <f>SUM(I34:O34)</f>
        <v>317025.09834712028</v>
      </c>
      <c r="Q34" s="1044"/>
      <c r="R34" s="999" t="s">
        <v>981</v>
      </c>
      <c r="S34"/>
      <c r="T34" s="994"/>
      <c r="U34" s="994"/>
      <c r="V34" s="994"/>
      <c r="W34" s="994"/>
    </row>
    <row r="35" spans="1:23" ht="11.45" customHeight="1">
      <c r="A35" s="1113" t="s">
        <v>982</v>
      </c>
      <c r="B35" s="1032">
        <v>254</v>
      </c>
      <c r="C35" s="1043" t="s">
        <v>983</v>
      </c>
      <c r="D35" s="1035" t="s">
        <v>114</v>
      </c>
      <c r="E35" s="997" t="s">
        <v>950</v>
      </c>
      <c r="F35" s="1035"/>
      <c r="G35" s="1035" t="s">
        <v>114</v>
      </c>
      <c r="H35" s="1035"/>
      <c r="I35" s="1008">
        <v>-67568456.302642822</v>
      </c>
      <c r="J35" s="1035"/>
      <c r="K35" s="1000"/>
      <c r="L35" s="1000"/>
      <c r="M35" s="1000">
        <v>6087819.4683054108</v>
      </c>
      <c r="N35" s="1035"/>
      <c r="O35" s="1035"/>
      <c r="P35" s="1041">
        <f>SUM(I35:O35)</f>
        <v>-61480636.834337413</v>
      </c>
      <c r="Q35" s="1044"/>
      <c r="R35" s="999" t="s">
        <v>981</v>
      </c>
      <c r="S35"/>
      <c r="T35" s="994"/>
      <c r="U35" s="994"/>
      <c r="V35" s="994"/>
      <c r="W35" s="994"/>
    </row>
    <row r="36" spans="1:23" ht="11.45" customHeight="1">
      <c r="A36" s="1113" t="s">
        <v>984</v>
      </c>
      <c r="B36" s="1114">
        <v>254.00020000000001</v>
      </c>
      <c r="C36" s="1115" t="s">
        <v>1120</v>
      </c>
      <c r="D36" s="1035"/>
      <c r="E36" s="1113" t="s">
        <v>1115</v>
      </c>
      <c r="F36" s="1035"/>
      <c r="G36" s="1035"/>
      <c r="H36" s="1035"/>
      <c r="I36" s="1008">
        <v>-77498</v>
      </c>
      <c r="J36" s="1035"/>
      <c r="K36" s="1000"/>
      <c r="L36" s="1000"/>
      <c r="M36" s="1000">
        <v>-4092074.044303122</v>
      </c>
      <c r="N36" s="1035"/>
      <c r="O36" s="1035"/>
      <c r="P36" s="1041">
        <f>SUM(I36:O36)</f>
        <v>-4169572.044303122</v>
      </c>
      <c r="Q36" s="1044"/>
      <c r="R36" s="999"/>
      <c r="S36"/>
      <c r="T36" s="994"/>
      <c r="U36" s="994"/>
      <c r="V36" s="994"/>
      <c r="W36" s="994"/>
    </row>
    <row r="37" spans="1:23" ht="11.45" customHeight="1">
      <c r="A37" s="1113" t="s">
        <v>1121</v>
      </c>
      <c r="B37" s="1022" t="s">
        <v>1095</v>
      </c>
      <c r="C37" s="1043"/>
      <c r="D37" s="1035"/>
      <c r="F37" s="1035"/>
      <c r="G37" s="1035"/>
      <c r="H37" s="1035"/>
      <c r="I37" s="1000"/>
      <c r="J37" s="1035"/>
      <c r="K37" s="1000"/>
      <c r="L37" s="1000"/>
      <c r="M37" s="1000"/>
      <c r="N37" s="1035"/>
      <c r="O37" s="1035"/>
      <c r="P37" s="1044"/>
      <c r="Q37" s="1044"/>
      <c r="R37" s="999"/>
      <c r="S37"/>
      <c r="T37" s="994"/>
      <c r="U37" s="994"/>
      <c r="V37" s="994"/>
      <c r="W37" s="994"/>
    </row>
    <row r="38" spans="1:23">
      <c r="C38" s="1043"/>
      <c r="D38" s="1021"/>
      <c r="E38" s="1021"/>
      <c r="F38" s="1021"/>
      <c r="G38" s="1021"/>
      <c r="H38" s="1021"/>
      <c r="I38" s="1021"/>
      <c r="J38" s="1021"/>
      <c r="K38" s="1021"/>
      <c r="L38" s="1021"/>
      <c r="M38" s="1021"/>
      <c r="N38" s="1021"/>
      <c r="O38" s="1021"/>
      <c r="P38" s="1021"/>
      <c r="Q38" s="1021"/>
      <c r="R38" s="1045"/>
      <c r="S38" s="994"/>
      <c r="T38" s="994"/>
      <c r="U38" s="994"/>
      <c r="V38" s="994"/>
      <c r="W38" s="994"/>
    </row>
    <row r="39" spans="1:23" ht="12.75" thickBot="1">
      <c r="A39" s="1116">
        <v>3</v>
      </c>
      <c r="B39" s="1266" t="str">
        <f>"Total For Accounting Entires (Sum of Lines "&amp;A13&amp;" through "&amp;A35&amp;")"</f>
        <v>Total For Accounting Entires (Sum of Lines 1a through 2b)</v>
      </c>
      <c r="C39" s="1266"/>
      <c r="D39" s="1035"/>
      <c r="E39" s="1035"/>
      <c r="F39" s="1009">
        <f>SUM(F13:F38)</f>
        <v>-88333361</v>
      </c>
      <c r="G39" s="1035"/>
      <c r="H39" s="1035"/>
      <c r="I39" s="1009">
        <f>SUM(I13:I38)</f>
        <v>1.4901161193847656E-8</v>
      </c>
      <c r="J39" s="1009">
        <f>SUM(J13:J38)</f>
        <v>-49984490.243167676</v>
      </c>
      <c r="K39" s="1010">
        <f>SUM(K13:K38)</f>
        <v>0</v>
      </c>
      <c r="L39" s="1010">
        <f>SUM(L13:L38)</f>
        <v>0</v>
      </c>
      <c r="M39" s="1009">
        <f>SUM(M13:M38)</f>
        <v>0</v>
      </c>
      <c r="N39" s="1011">
        <f>-SUM(N13:N38)</f>
        <v>-1598664.3956005336</v>
      </c>
      <c r="O39" s="1009">
        <f>-SUM(O13:O38)</f>
        <v>0</v>
      </c>
      <c r="P39" s="1010">
        <f>SUM(P13:P38)</f>
        <v>4.6566128730773926E-9</v>
      </c>
      <c r="Q39" s="1009">
        <f>SUM(Q13:Q38)</f>
        <v>-48385825.847567141</v>
      </c>
      <c r="R39" s="1047"/>
      <c r="S39" s="994"/>
      <c r="T39" s="994"/>
      <c r="U39" s="994"/>
      <c r="V39" s="994"/>
      <c r="W39" s="994"/>
    </row>
    <row r="40" spans="1:23" ht="12.75" thickTop="1">
      <c r="C40" s="1043"/>
      <c r="D40" s="1021"/>
      <c r="E40" s="1021"/>
      <c r="F40" s="1048"/>
      <c r="G40" s="1021"/>
      <c r="H40" s="1021"/>
      <c r="I40" s="1012"/>
      <c r="J40" s="1003"/>
      <c r="K40" s="1013"/>
      <c r="L40" s="1013"/>
      <c r="M40" s="1013"/>
      <c r="N40" s="1014" t="s">
        <v>1001</v>
      </c>
      <c r="O40" s="1014"/>
      <c r="P40" s="1013"/>
      <c r="Q40" s="1015"/>
      <c r="R40" s="1047"/>
      <c r="S40" s="994"/>
      <c r="T40" s="994"/>
      <c r="U40" s="994"/>
      <c r="V40" s="994"/>
      <c r="W40" s="994"/>
    </row>
    <row r="41" spans="1:23">
      <c r="A41" s="1022" t="s">
        <v>985</v>
      </c>
      <c r="C41" s="1043"/>
      <c r="D41" s="1021"/>
      <c r="E41" s="1021"/>
      <c r="F41" s="1021"/>
      <c r="G41" s="1021"/>
      <c r="H41" s="1021"/>
      <c r="I41" s="1012"/>
      <c r="J41" s="1003"/>
      <c r="K41" s="1013"/>
      <c r="L41" s="1013"/>
      <c r="M41" s="1013"/>
      <c r="N41" s="1003"/>
      <c r="O41" s="1003"/>
      <c r="P41" s="1013"/>
      <c r="Q41" s="1015"/>
      <c r="R41" s="1047"/>
      <c r="S41" s="994"/>
      <c r="T41" s="994"/>
      <c r="U41" s="994"/>
      <c r="V41" s="994"/>
      <c r="W41" s="994"/>
    </row>
    <row r="42" spans="1:23">
      <c r="B42" s="997"/>
      <c r="D42" s="1028"/>
      <c r="E42" s="1028"/>
      <c r="F42" s="1028"/>
      <c r="G42" s="1028"/>
      <c r="H42" s="1028"/>
      <c r="I42" s="1028"/>
      <c r="J42" s="1028"/>
      <c r="K42" s="1028"/>
      <c r="L42" s="1028"/>
      <c r="M42" s="1028"/>
      <c r="N42" s="1028"/>
      <c r="O42" s="1028"/>
      <c r="P42" s="1270" t="s">
        <v>945</v>
      </c>
      <c r="Q42" s="1270"/>
      <c r="R42" s="1027"/>
      <c r="S42" s="994"/>
      <c r="T42" s="994"/>
      <c r="U42" s="994"/>
      <c r="V42" s="994"/>
      <c r="W42" s="994"/>
    </row>
    <row r="43" spans="1:23">
      <c r="B43" s="1030" t="s">
        <v>946</v>
      </c>
      <c r="C43" s="1031"/>
      <c r="D43" s="1031"/>
      <c r="E43" s="1031"/>
      <c r="F43" s="1031"/>
      <c r="G43" s="1031"/>
      <c r="H43" s="1031"/>
      <c r="I43" s="1031"/>
      <c r="J43" s="1031"/>
      <c r="K43" s="1031"/>
      <c r="L43" s="1031"/>
      <c r="M43" s="1031"/>
      <c r="N43" s="1031"/>
      <c r="O43" s="1031"/>
      <c r="P43" s="1031"/>
      <c r="Q43" s="1031"/>
      <c r="R43" s="994"/>
      <c r="S43" s="994"/>
      <c r="T43" s="994"/>
      <c r="U43" s="994"/>
      <c r="V43" s="994"/>
      <c r="W43" s="994"/>
    </row>
    <row r="44" spans="1:23">
      <c r="A44" s="1113" t="s">
        <v>986</v>
      </c>
      <c r="B44" s="1032" t="s">
        <v>948</v>
      </c>
      <c r="C44" s="997" t="s">
        <v>1337</v>
      </c>
      <c r="D44" s="997" t="s">
        <v>1334</v>
      </c>
      <c r="E44" s="1113" t="s">
        <v>950</v>
      </c>
      <c r="F44" s="1017"/>
      <c r="I44" s="1000">
        <v>3225981.3835853408</v>
      </c>
      <c r="J44" s="1040"/>
      <c r="K44" s="1000"/>
      <c r="L44" s="1000"/>
      <c r="M44" s="1000">
        <v>-770479.25</v>
      </c>
      <c r="N44" s="1000"/>
      <c r="O44" s="1000"/>
      <c r="P44" s="1039">
        <f>SUM(I44:O44)</f>
        <v>2455502.1335853408</v>
      </c>
      <c r="Q44" s="1035"/>
      <c r="R44" s="999" t="s">
        <v>630</v>
      </c>
      <c r="S44" s="994"/>
      <c r="T44" s="994"/>
      <c r="U44" s="994"/>
      <c r="V44" s="994"/>
      <c r="W44" s="994"/>
    </row>
    <row r="45" spans="1:23">
      <c r="A45" s="1113" t="s">
        <v>987</v>
      </c>
      <c r="B45" s="1032" t="s">
        <v>1105</v>
      </c>
      <c r="C45" s="997" t="s">
        <v>949</v>
      </c>
      <c r="D45" s="997" t="s">
        <v>964</v>
      </c>
      <c r="E45" s="1113" t="s">
        <v>1115</v>
      </c>
      <c r="F45" s="1017"/>
      <c r="I45" s="1000">
        <v>355.62757598343887</v>
      </c>
      <c r="J45" s="1040"/>
      <c r="K45" s="1000"/>
      <c r="L45" s="1000"/>
      <c r="M45" s="1000">
        <v>-50.61</v>
      </c>
      <c r="N45" s="1000"/>
      <c r="O45" s="1000"/>
      <c r="P45" s="1039">
        <f>SUM(I45:O45)</f>
        <v>305.01757598343886</v>
      </c>
      <c r="Q45" s="1035"/>
      <c r="R45" s="999"/>
      <c r="S45" s="994"/>
      <c r="T45" s="994"/>
      <c r="U45" s="994"/>
      <c r="V45" s="994"/>
      <c r="W45" s="994"/>
    </row>
    <row r="46" spans="1:23">
      <c r="A46" s="1113" t="s">
        <v>988</v>
      </c>
      <c r="B46" s="1032" t="s">
        <v>959</v>
      </c>
      <c r="C46" s="997" t="s">
        <v>960</v>
      </c>
      <c r="D46" s="997" t="s">
        <v>954</v>
      </c>
      <c r="E46" s="1113" t="s">
        <v>950</v>
      </c>
      <c r="F46" s="1036">
        <v>-9984247</v>
      </c>
      <c r="G46" s="1022" t="s">
        <v>961</v>
      </c>
      <c r="H46" s="1022" t="s">
        <v>962</v>
      </c>
      <c r="I46" s="1035" t="s">
        <v>114</v>
      </c>
      <c r="J46" s="1000">
        <v>-8967622.4229999948</v>
      </c>
      <c r="K46" s="1000"/>
      <c r="L46" s="1000"/>
      <c r="M46" s="1000"/>
      <c r="N46" s="1000">
        <v>73284</v>
      </c>
      <c r="O46" s="1000"/>
      <c r="P46" s="1038" t="s">
        <v>114</v>
      </c>
      <c r="Q46" s="1004">
        <f>SUM(J46:O46)</f>
        <v>-8894338.4229999948</v>
      </c>
      <c r="R46" s="1265" t="s">
        <v>1012</v>
      </c>
      <c r="S46" s="994"/>
      <c r="T46" s="994"/>
      <c r="U46" s="994"/>
      <c r="V46" s="994"/>
      <c r="W46" s="994"/>
    </row>
    <row r="47" spans="1:23">
      <c r="A47" s="1113" t="s">
        <v>989</v>
      </c>
      <c r="B47" s="1032" t="s">
        <v>959</v>
      </c>
      <c r="C47" s="997" t="s">
        <v>960</v>
      </c>
      <c r="D47" s="997" t="s">
        <v>964</v>
      </c>
      <c r="E47" s="1113" t="s">
        <v>950</v>
      </c>
      <c r="F47" s="1003">
        <v>-518040</v>
      </c>
      <c r="G47" s="1022" t="s">
        <v>965</v>
      </c>
      <c r="H47" s="1022" t="s">
        <v>966</v>
      </c>
      <c r="I47" s="1035"/>
      <c r="J47" s="1000">
        <v>-623966.67904342327</v>
      </c>
      <c r="K47" s="1000"/>
      <c r="L47" s="1000"/>
      <c r="M47" s="1000"/>
      <c r="N47" s="1000">
        <v>207990.01096591013</v>
      </c>
      <c r="O47" s="1000"/>
      <c r="P47" s="1038"/>
      <c r="Q47" s="1004">
        <f>SUM(J47:O47)</f>
        <v>-415976.66807751311</v>
      </c>
      <c r="R47" s="1265"/>
      <c r="S47" s="994"/>
      <c r="T47" s="994"/>
      <c r="U47" s="994"/>
      <c r="V47" s="994"/>
      <c r="W47" s="994"/>
    </row>
    <row r="48" spans="1:23">
      <c r="A48" s="1113" t="s">
        <v>990</v>
      </c>
      <c r="B48" s="1032" t="s">
        <v>968</v>
      </c>
      <c r="C48" s="997" t="s">
        <v>969</v>
      </c>
      <c r="D48" s="997" t="s">
        <v>954</v>
      </c>
      <c r="E48" s="1113" t="s">
        <v>950</v>
      </c>
      <c r="F48" s="1003"/>
      <c r="G48" s="1022"/>
      <c r="H48" s="1022"/>
      <c r="I48" s="1000">
        <v>8967623.4229999948</v>
      </c>
      <c r="J48" s="1035"/>
      <c r="K48" s="1000"/>
      <c r="L48" s="1000"/>
      <c r="M48" s="1000">
        <v>-73284</v>
      </c>
      <c r="N48" s="1000"/>
      <c r="O48" s="1000"/>
      <c r="P48" s="1039">
        <f>SUM(I48:O48)</f>
        <v>8894339.4229999948</v>
      </c>
      <c r="Q48" s="1040"/>
      <c r="R48" s="1271" t="s">
        <v>630</v>
      </c>
      <c r="S48" s="994"/>
      <c r="T48" s="994"/>
      <c r="U48" s="994"/>
      <c r="V48" s="994"/>
      <c r="W48" s="994"/>
    </row>
    <row r="49" spans="1:23">
      <c r="A49" s="1113" t="s">
        <v>991</v>
      </c>
      <c r="B49" s="1032" t="s">
        <v>968</v>
      </c>
      <c r="C49" s="997" t="s">
        <v>969</v>
      </c>
      <c r="D49" s="997" t="s">
        <v>964</v>
      </c>
      <c r="E49" s="1113" t="s">
        <v>950</v>
      </c>
      <c r="F49" s="1003"/>
      <c r="G49" s="1022"/>
      <c r="H49" s="1022"/>
      <c r="I49" s="1000">
        <v>623966.67904342327</v>
      </c>
      <c r="J49" s="1035"/>
      <c r="K49" s="1000"/>
      <c r="L49" s="1000"/>
      <c r="M49" s="1000">
        <v>-207990.01096591013</v>
      </c>
      <c r="N49" s="1000"/>
      <c r="O49" s="1000"/>
      <c r="P49" s="1039">
        <f>SUM(I49:O49)</f>
        <v>415976.66807751311</v>
      </c>
      <c r="Q49" s="1040"/>
      <c r="R49" s="1271"/>
      <c r="S49" s="994"/>
      <c r="T49" s="994"/>
      <c r="U49" s="994"/>
      <c r="V49" s="994"/>
      <c r="W49" s="994"/>
    </row>
    <row r="50" spans="1:23">
      <c r="A50" s="1113" t="s">
        <v>992</v>
      </c>
      <c r="B50" s="1032" t="s">
        <v>972</v>
      </c>
      <c r="C50" s="997" t="s">
        <v>973</v>
      </c>
      <c r="D50" s="997" t="s">
        <v>964</v>
      </c>
      <c r="E50" s="1113" t="s">
        <v>950</v>
      </c>
      <c r="F50" s="1003">
        <v>351772</v>
      </c>
      <c r="G50" s="1022" t="s">
        <v>965</v>
      </c>
      <c r="H50" s="1022" t="s">
        <v>966</v>
      </c>
      <c r="I50" s="1035" t="s">
        <v>114</v>
      </c>
      <c r="J50" s="1000">
        <v>461590.54793025856</v>
      </c>
      <c r="K50" s="1000"/>
      <c r="L50" s="1000"/>
      <c r="M50" s="1000"/>
      <c r="N50" s="1000">
        <v>-388654.42266049859</v>
      </c>
      <c r="O50" s="1000"/>
      <c r="P50" s="1038" t="s">
        <v>114</v>
      </c>
      <c r="Q50" s="1004">
        <f>SUM(J50:O50)</f>
        <v>72936.12526975997</v>
      </c>
      <c r="R50" s="1016" t="s">
        <v>1112</v>
      </c>
      <c r="S50" s="994"/>
      <c r="T50" s="994"/>
      <c r="U50" s="994"/>
      <c r="V50" s="994"/>
      <c r="W50" s="994"/>
    </row>
    <row r="51" spans="1:23">
      <c r="A51" s="1113" t="s">
        <v>993</v>
      </c>
      <c r="B51" s="1112" t="s">
        <v>972</v>
      </c>
      <c r="C51" s="1113" t="s">
        <v>1122</v>
      </c>
      <c r="D51" s="997" t="s">
        <v>964</v>
      </c>
      <c r="E51" s="1113" t="s">
        <v>1115</v>
      </c>
      <c r="F51" s="1003"/>
      <c r="G51" s="1022"/>
      <c r="H51" s="1022"/>
      <c r="I51" s="1035"/>
      <c r="J51" s="1000">
        <v>1080</v>
      </c>
      <c r="K51" s="1000"/>
      <c r="L51" s="1000"/>
      <c r="M51" s="1000"/>
      <c r="N51" s="1000">
        <v>-119.96535656038643</v>
      </c>
      <c r="O51" s="1000"/>
      <c r="P51" s="1038"/>
      <c r="Q51" s="1004">
        <f t="shared" ref="Q51:Q52" si="1">SUM(J51:O51)</f>
        <v>960.03464343961355</v>
      </c>
      <c r="R51" s="1111"/>
      <c r="S51" s="994"/>
      <c r="T51" s="994"/>
      <c r="U51" s="994"/>
      <c r="V51" s="994"/>
      <c r="W51" s="994"/>
    </row>
    <row r="52" spans="1:23">
      <c r="A52" s="1113" t="s">
        <v>1123</v>
      </c>
      <c r="B52" s="1112" t="s">
        <v>1113</v>
      </c>
      <c r="C52" s="1113" t="s">
        <v>1114</v>
      </c>
      <c r="D52" s="997" t="s">
        <v>964</v>
      </c>
      <c r="E52" s="1113" t="s">
        <v>1115</v>
      </c>
      <c r="F52" s="1003"/>
      <c r="G52" s="1022"/>
      <c r="H52" s="1022"/>
      <c r="I52" s="1035"/>
      <c r="J52" s="1000">
        <v>-5141.3724240165611</v>
      </c>
      <c r="K52" s="1000"/>
      <c r="L52" s="1000"/>
      <c r="M52" s="1000"/>
      <c r="N52" s="1000">
        <v>571.26360266850679</v>
      </c>
      <c r="O52" s="1000"/>
      <c r="P52" s="1038"/>
      <c r="Q52" s="1004">
        <f t="shared" si="1"/>
        <v>-4570.1088213480543</v>
      </c>
      <c r="R52" s="1111"/>
      <c r="S52" s="994"/>
      <c r="T52" s="994"/>
      <c r="U52" s="994"/>
      <c r="V52" s="994"/>
      <c r="W52" s="994"/>
    </row>
    <row r="53" spans="1:23">
      <c r="A53" s="1113" t="s">
        <v>1124</v>
      </c>
      <c r="B53" s="1032" t="s">
        <v>975</v>
      </c>
      <c r="C53" s="997" t="s">
        <v>976</v>
      </c>
      <c r="D53" s="997" t="s">
        <v>964</v>
      </c>
      <c r="E53" s="1113" t="s">
        <v>950</v>
      </c>
      <c r="F53" s="1036"/>
      <c r="G53" s="1022"/>
      <c r="H53" s="1022"/>
      <c r="I53" s="1000">
        <v>-461590.54793025856</v>
      </c>
      <c r="J53" s="1040"/>
      <c r="K53" s="1000"/>
      <c r="L53" s="1000"/>
      <c r="M53" s="1000">
        <v>388654.42266049859</v>
      </c>
      <c r="N53" s="1000"/>
      <c r="O53" s="1000"/>
      <c r="P53" s="1039">
        <f>SUM(I53:O53)</f>
        <v>-72936.12526975997</v>
      </c>
      <c r="Q53" s="1038"/>
      <c r="R53" s="1111"/>
      <c r="S53" s="994"/>
      <c r="T53" s="994"/>
      <c r="U53" s="994"/>
      <c r="V53" s="994"/>
      <c r="W53" s="994"/>
    </row>
    <row r="54" spans="1:23">
      <c r="A54" s="1113" t="s">
        <v>1125</v>
      </c>
      <c r="B54" s="1032" t="s">
        <v>1106</v>
      </c>
      <c r="C54" s="997" t="s">
        <v>976</v>
      </c>
      <c r="D54" s="997" t="s">
        <v>964</v>
      </c>
      <c r="E54" s="1113" t="s">
        <v>1115</v>
      </c>
      <c r="F54" s="1036"/>
      <c r="G54" s="1022"/>
      <c r="H54" s="1022"/>
      <c r="I54" s="1000">
        <v>5141.3724240165611</v>
      </c>
      <c r="J54" s="1040"/>
      <c r="K54" s="1000"/>
      <c r="L54" s="1000"/>
      <c r="M54" s="1000">
        <v>-571.26360266850679</v>
      </c>
      <c r="N54" s="1000"/>
      <c r="O54" s="1000"/>
      <c r="P54" s="1039">
        <f>SUM(I54:O54)</f>
        <v>4570.1088213480543</v>
      </c>
      <c r="Q54" s="1038"/>
      <c r="R54" s="999" t="s">
        <v>630</v>
      </c>
      <c r="S54" s="994"/>
      <c r="T54" s="994"/>
      <c r="U54" s="994"/>
      <c r="V54" s="994"/>
      <c r="W54" s="994"/>
    </row>
    <row r="55" spans="1:23" ht="12.75">
      <c r="A55" s="1206" t="s">
        <v>1126</v>
      </c>
      <c r="B55" s="1213" t="s">
        <v>1341</v>
      </c>
      <c r="C55" s="1206" t="s">
        <v>1328</v>
      </c>
      <c r="D55" s="1206" t="s">
        <v>964</v>
      </c>
      <c r="E55" s="1206" t="s">
        <v>950</v>
      </c>
      <c r="F55" s="1214"/>
      <c r="G55" s="1215"/>
      <c r="H55" s="1216"/>
      <c r="I55" s="1209"/>
      <c r="J55" s="1210"/>
      <c r="K55" s="1210"/>
      <c r="L55" s="1210"/>
      <c r="M55" s="1210"/>
      <c r="N55" s="1210">
        <v>234789.07169458846</v>
      </c>
      <c r="O55" s="1210"/>
      <c r="P55" s="1217"/>
      <c r="Q55" s="1218">
        <f t="shared" ref="Q55" si="2">SUM(J55:O55)</f>
        <v>234789.07169458846</v>
      </c>
      <c r="R55" s="1219"/>
      <c r="S55" s="994"/>
      <c r="T55" s="994"/>
      <c r="U55" s="994"/>
      <c r="V55" s="994"/>
      <c r="W55" s="994"/>
    </row>
    <row r="56" spans="1:23">
      <c r="A56" s="1206" t="s">
        <v>1342</v>
      </c>
      <c r="B56" s="1220" t="s">
        <v>948</v>
      </c>
      <c r="C56" s="1206" t="s">
        <v>1328</v>
      </c>
      <c r="D56" s="1206" t="s">
        <v>1334</v>
      </c>
      <c r="E56" s="1206" t="s">
        <v>950</v>
      </c>
      <c r="F56" s="1214"/>
      <c r="G56" s="1215"/>
      <c r="H56" s="1216"/>
      <c r="I56" s="1210"/>
      <c r="J56" s="1209"/>
      <c r="K56" s="1210"/>
      <c r="L56" s="1210">
        <v>-234789.07169458846</v>
      </c>
      <c r="M56" s="1210"/>
      <c r="N56" s="1210"/>
      <c r="O56" s="1210"/>
      <c r="P56" s="1212">
        <f t="shared" ref="P56:P59" si="3">SUM(I56:O56)</f>
        <v>-234789.07169458846</v>
      </c>
      <c r="Q56" s="1217"/>
      <c r="R56" s="1219"/>
      <c r="S56" s="994"/>
      <c r="T56" s="994"/>
      <c r="U56" s="994"/>
      <c r="V56" s="994"/>
      <c r="W56" s="994"/>
    </row>
    <row r="57" spans="1:23">
      <c r="A57" s="1206" t="s">
        <v>1343</v>
      </c>
      <c r="B57" s="1220" t="s">
        <v>1105</v>
      </c>
      <c r="C57" s="1206" t="s">
        <v>1333</v>
      </c>
      <c r="D57" s="1206" t="s">
        <v>1334</v>
      </c>
      <c r="E57" s="1113" t="s">
        <v>1115</v>
      </c>
      <c r="F57" s="1214"/>
      <c r="G57" s="1215"/>
      <c r="H57" s="1216"/>
      <c r="I57" s="1210"/>
      <c r="J57" s="1209"/>
      <c r="K57" s="1210"/>
      <c r="L57" s="1210"/>
      <c r="M57" s="1210">
        <v>779930.21</v>
      </c>
      <c r="N57" s="1210"/>
      <c r="O57" s="1210"/>
      <c r="P57" s="1212">
        <f t="shared" si="3"/>
        <v>779930.21</v>
      </c>
      <c r="Q57" s="1217"/>
      <c r="R57" s="1219"/>
      <c r="S57" s="994"/>
      <c r="T57" s="994"/>
      <c r="U57" s="994"/>
      <c r="V57" s="994"/>
      <c r="W57" s="994"/>
    </row>
    <row r="58" spans="1:23" ht="12.75">
      <c r="A58" s="1206" t="s">
        <v>1344</v>
      </c>
      <c r="B58" s="1220" t="s">
        <v>1345</v>
      </c>
      <c r="C58" t="s">
        <v>1337</v>
      </c>
      <c r="D58" s="1206" t="s">
        <v>964</v>
      </c>
      <c r="E58" s="1206" t="s">
        <v>950</v>
      </c>
      <c r="F58" s="1214"/>
      <c r="G58" s="1215"/>
      <c r="H58" s="1216"/>
      <c r="I58" s="1210"/>
      <c r="J58" s="1209"/>
      <c r="K58" s="1210"/>
      <c r="L58" s="1210">
        <v>-62412.284880839929</v>
      </c>
      <c r="M58" s="1210"/>
      <c r="N58" s="1210"/>
      <c r="O58" s="1210"/>
      <c r="P58" s="1212">
        <f t="shared" si="3"/>
        <v>-62412.284880839929</v>
      </c>
      <c r="Q58" s="1217"/>
      <c r="R58" s="1219"/>
      <c r="S58" s="994"/>
      <c r="T58" s="994"/>
      <c r="U58" s="994"/>
      <c r="V58" s="994"/>
      <c r="W58" s="994"/>
    </row>
    <row r="59" spans="1:23" ht="12.75">
      <c r="A59" s="1206" t="s">
        <v>1346</v>
      </c>
      <c r="B59" s="1220" t="s">
        <v>1347</v>
      </c>
      <c r="C59" t="s">
        <v>1333</v>
      </c>
      <c r="D59" s="1206" t="s">
        <v>964</v>
      </c>
      <c r="E59" s="1113" t="s">
        <v>1115</v>
      </c>
      <c r="F59" s="1214"/>
      <c r="G59" s="1215"/>
      <c r="H59" s="1216"/>
      <c r="I59" s="1210"/>
      <c r="J59" s="1209"/>
      <c r="K59" s="1210"/>
      <c r="L59" s="1210">
        <v>-19823.741771691886</v>
      </c>
      <c r="M59" s="1210"/>
      <c r="N59" s="1210"/>
      <c r="O59" s="1210"/>
      <c r="P59" s="1212">
        <f t="shared" si="3"/>
        <v>-19823.741771691886</v>
      </c>
      <c r="Q59" s="1217"/>
      <c r="R59" s="1219"/>
      <c r="S59" s="994"/>
      <c r="T59" s="994"/>
      <c r="U59" s="994"/>
      <c r="V59" s="994"/>
      <c r="W59" s="994"/>
    </row>
    <row r="60" spans="1:23">
      <c r="A60" s="1206" t="s">
        <v>1348</v>
      </c>
      <c r="B60" s="1215" t="s">
        <v>1001</v>
      </c>
      <c r="C60" s="1206"/>
      <c r="D60" s="1206"/>
      <c r="E60" s="1206"/>
      <c r="F60" s="1221"/>
      <c r="G60" s="1215"/>
      <c r="H60" s="1215"/>
      <c r="I60" s="1210"/>
      <c r="J60" s="1210"/>
      <c r="K60" s="1210"/>
      <c r="L60" s="1210"/>
      <c r="M60" s="1210"/>
      <c r="N60" s="1210"/>
      <c r="O60" s="1210"/>
      <c r="P60" s="1222"/>
      <c r="Q60" s="1223">
        <f t="shared" ref="Q60" si="4">SUM(J60:O60)</f>
        <v>0</v>
      </c>
      <c r="R60" s="1219"/>
      <c r="S60" s="994"/>
      <c r="T60" s="994"/>
      <c r="U60" s="994"/>
      <c r="V60" s="994"/>
      <c r="W60" s="994"/>
    </row>
    <row r="61" spans="1:23" ht="12.75">
      <c r="B61"/>
      <c r="C61"/>
      <c r="D61"/>
      <c r="E61"/>
      <c r="F61"/>
      <c r="G61"/>
      <c r="H61"/>
      <c r="I61"/>
      <c r="J61"/>
      <c r="K61"/>
      <c r="L61"/>
      <c r="M61"/>
      <c r="N61"/>
      <c r="O61"/>
      <c r="P61"/>
      <c r="Q61"/>
      <c r="R61"/>
      <c r="S61" s="994"/>
      <c r="T61" s="994"/>
      <c r="U61" s="994"/>
      <c r="V61" s="994"/>
      <c r="W61" s="994"/>
    </row>
    <row r="62" spans="1:23">
      <c r="B62" s="1030" t="s">
        <v>978</v>
      </c>
      <c r="C62" s="994"/>
      <c r="D62" s="994"/>
      <c r="E62" s="994"/>
      <c r="F62" s="994"/>
      <c r="G62" s="994"/>
      <c r="H62" s="994"/>
      <c r="I62" s="994"/>
      <c r="J62" s="994"/>
      <c r="K62" s="994"/>
      <c r="L62" s="994"/>
      <c r="M62" s="994"/>
      <c r="N62" s="994"/>
      <c r="O62" s="994"/>
      <c r="P62" s="994"/>
      <c r="Q62" s="994"/>
      <c r="R62" s="994"/>
      <c r="S62" s="994"/>
      <c r="T62" s="994"/>
      <c r="U62" s="994"/>
      <c r="V62" s="994"/>
      <c r="W62" s="994"/>
    </row>
    <row r="63" spans="1:23">
      <c r="A63" s="997" t="s">
        <v>615</v>
      </c>
      <c r="B63" s="1032">
        <v>182.3</v>
      </c>
      <c r="C63" s="1043" t="s">
        <v>980</v>
      </c>
      <c r="D63" s="1035" t="s">
        <v>114</v>
      </c>
      <c r="E63" s="997" t="s">
        <v>950</v>
      </c>
      <c r="F63" s="1035"/>
      <c r="G63" s="1035" t="s">
        <v>114</v>
      </c>
      <c r="H63" s="1035"/>
      <c r="I63" s="1008">
        <v>0</v>
      </c>
      <c r="J63" s="1035"/>
      <c r="K63" s="1000"/>
      <c r="L63" s="1000">
        <v>317025.09834712028</v>
      </c>
      <c r="M63" s="1000"/>
      <c r="N63" s="1035"/>
      <c r="O63" s="1035"/>
      <c r="P63" s="1041">
        <f>SUM(I63:O63)</f>
        <v>317025.09834712028</v>
      </c>
      <c r="Q63" s="1044"/>
      <c r="R63" s="999" t="s">
        <v>981</v>
      </c>
      <c r="S63" s="994"/>
      <c r="T63" s="994"/>
      <c r="U63" s="994"/>
      <c r="V63" s="994"/>
      <c r="W63" s="994"/>
    </row>
    <row r="64" spans="1:23">
      <c r="A64" s="997" t="s">
        <v>616</v>
      </c>
      <c r="B64" s="1032">
        <v>254</v>
      </c>
      <c r="C64" s="1043" t="s">
        <v>983</v>
      </c>
      <c r="D64" s="1035" t="s">
        <v>114</v>
      </c>
      <c r="E64" s="997" t="s">
        <v>950</v>
      </c>
      <c r="F64" s="1035"/>
      <c r="G64" s="1035" t="s">
        <v>114</v>
      </c>
      <c r="H64" s="1035"/>
      <c r="I64" s="1008">
        <v>-12355980.937698498</v>
      </c>
      <c r="J64" s="1035"/>
      <c r="K64" s="1000"/>
      <c r="L64" s="1000"/>
      <c r="M64" s="1000">
        <v>663098.83830541139</v>
      </c>
      <c r="N64" s="1035"/>
      <c r="O64" s="1035"/>
      <c r="P64" s="1041">
        <f>SUM(I64:O64)</f>
        <v>-11692882.099393087</v>
      </c>
      <c r="Q64" s="1044"/>
      <c r="R64" s="999" t="s">
        <v>981</v>
      </c>
      <c r="S64" s="994"/>
      <c r="T64" s="994"/>
      <c r="U64" s="994"/>
      <c r="V64" s="994"/>
      <c r="W64" s="994"/>
    </row>
    <row r="65" spans="1:23">
      <c r="A65" s="997" t="s">
        <v>994</v>
      </c>
      <c r="B65" s="1114">
        <v>254.00020000000001</v>
      </c>
      <c r="C65" s="1115" t="s">
        <v>1120</v>
      </c>
      <c r="D65" s="1035"/>
      <c r="F65" s="1035"/>
      <c r="G65" s="1035"/>
      <c r="H65" s="1035"/>
      <c r="I65" s="1008">
        <v>-5497</v>
      </c>
      <c r="J65" s="1035"/>
      <c r="K65" s="1000"/>
      <c r="L65" s="1000"/>
      <c r="M65" s="1000">
        <v>-779308.33639733144</v>
      </c>
      <c r="N65" s="1035"/>
      <c r="O65" s="1035"/>
      <c r="P65" s="1041">
        <f>SUM(I65:O65)</f>
        <v>-784805.33639733144</v>
      </c>
      <c r="Q65" s="1044"/>
      <c r="R65" s="999"/>
      <c r="S65" s="994"/>
      <c r="T65" s="994"/>
      <c r="U65" s="994"/>
      <c r="V65" s="994"/>
      <c r="W65" s="994"/>
    </row>
    <row r="66" spans="1:23">
      <c r="A66" s="997" t="s">
        <v>1127</v>
      </c>
      <c r="B66" s="1022" t="s">
        <v>1095</v>
      </c>
      <c r="C66" s="1043"/>
      <c r="D66" s="1035"/>
      <c r="F66" s="1035"/>
      <c r="G66" s="1035"/>
      <c r="H66" s="1035"/>
      <c r="I66" s="1000"/>
      <c r="J66" s="1035"/>
      <c r="K66" s="1000"/>
      <c r="L66" s="1000"/>
      <c r="M66" s="1000"/>
      <c r="N66" s="1035"/>
      <c r="O66" s="1035"/>
      <c r="P66" s="1044"/>
      <c r="Q66" s="1044"/>
      <c r="R66" s="999"/>
      <c r="S66" s="994"/>
      <c r="T66" s="994"/>
      <c r="U66" s="994"/>
      <c r="V66" s="994"/>
      <c r="W66" s="994"/>
    </row>
    <row r="67" spans="1:23">
      <c r="C67" s="1043"/>
      <c r="D67" s="1021"/>
      <c r="E67" s="1021"/>
      <c r="F67" s="1021"/>
      <c r="G67" s="1021"/>
      <c r="H67" s="1021"/>
      <c r="I67" s="1021"/>
      <c r="J67" s="1021"/>
      <c r="K67" s="1021"/>
      <c r="L67" s="1021"/>
      <c r="M67" s="1021"/>
      <c r="N67" s="1021"/>
      <c r="O67" s="1021"/>
      <c r="P67" s="1021"/>
      <c r="Q67" s="1021"/>
      <c r="R67" s="1045"/>
      <c r="S67" s="994"/>
      <c r="T67" s="994"/>
      <c r="U67" s="994"/>
      <c r="V67" s="994"/>
      <c r="W67" s="994"/>
    </row>
    <row r="68" spans="1:23" ht="12.75" thickBot="1">
      <c r="A68" s="1116">
        <v>6</v>
      </c>
      <c r="B68" s="1266" t="str">
        <f>"Total For Accounting Entires (Sum of Lines "&amp;A44&amp;" through "&amp;A64&amp;")"</f>
        <v>Total For Accounting Entires (Sum of Lines 4a through 5b)</v>
      </c>
      <c r="C68" s="1266"/>
      <c r="D68" s="1035"/>
      <c r="E68" s="1035"/>
      <c r="F68" s="1009">
        <f>SUM(F44:F67)</f>
        <v>-10150515</v>
      </c>
      <c r="G68" s="1035"/>
      <c r="H68" s="1035"/>
      <c r="I68" s="1009">
        <f>SUM(I42:I67)</f>
        <v>0</v>
      </c>
      <c r="J68" s="1009">
        <f>SUM(J42:J67)</f>
        <v>-9134059.9265371747</v>
      </c>
      <c r="K68" s="1010">
        <f>SUM(K44:K67)</f>
        <v>0</v>
      </c>
      <c r="L68" s="1010">
        <f>SUM(L44:L67)</f>
        <v>0</v>
      </c>
      <c r="M68" s="1009">
        <f>SUM(M44:M67)</f>
        <v>0</v>
      </c>
      <c r="N68" s="1011">
        <f>-SUM(N44:N67)</f>
        <v>-127859.95824610816</v>
      </c>
      <c r="O68" s="1009">
        <f>-SUM(O44:O67)</f>
        <v>0</v>
      </c>
      <c r="P68" s="1010">
        <f>SUM(P44:P67)</f>
        <v>3.4924596548080444E-9</v>
      </c>
      <c r="Q68" s="1009">
        <f>SUM(Q44:Q67)</f>
        <v>-9006199.9682910684</v>
      </c>
      <c r="R68" s="1047"/>
      <c r="S68" s="994"/>
      <c r="T68" s="994"/>
      <c r="U68" s="994"/>
      <c r="V68" s="994"/>
      <c r="W68" s="994"/>
    </row>
    <row r="69" spans="1:23" ht="12.75" thickTop="1">
      <c r="C69" s="1043"/>
      <c r="D69" s="1021"/>
      <c r="E69" s="1021"/>
      <c r="F69" s="1021"/>
      <c r="G69" s="1021"/>
      <c r="H69" s="1021"/>
      <c r="I69" s="1012"/>
      <c r="J69" s="1003"/>
      <c r="K69" s="1013"/>
      <c r="L69" s="1013"/>
      <c r="M69" s="1013"/>
      <c r="N69" s="1014" t="s">
        <v>1001</v>
      </c>
      <c r="O69" s="1003"/>
      <c r="P69" s="1013"/>
      <c r="Q69" s="1015"/>
      <c r="R69" s="1047"/>
      <c r="S69" s="994"/>
      <c r="T69" s="994"/>
      <c r="U69" s="994"/>
      <c r="V69" s="994"/>
      <c r="W69" s="994"/>
    </row>
    <row r="70" spans="1:23">
      <c r="C70" s="1043"/>
      <c r="D70" s="1021"/>
      <c r="E70" s="1021"/>
      <c r="F70" s="1021"/>
      <c r="G70" s="1021"/>
      <c r="H70" s="1021"/>
      <c r="I70" s="1012"/>
      <c r="J70" s="1003"/>
      <c r="K70" s="1013"/>
      <c r="L70" s="1013"/>
      <c r="M70" s="1013"/>
      <c r="N70" s="1003"/>
      <c r="O70" s="1003"/>
      <c r="P70" s="1013"/>
      <c r="Q70" s="1015"/>
      <c r="R70" s="1047"/>
      <c r="S70" s="994"/>
      <c r="T70" s="994"/>
      <c r="U70" s="994"/>
      <c r="V70" s="994"/>
      <c r="W70" s="994"/>
    </row>
    <row r="71" spans="1:23" ht="18.600000000000001" customHeight="1">
      <c r="A71" s="1272" t="s">
        <v>1002</v>
      </c>
      <c r="B71" s="1272"/>
      <c r="C71" s="1272"/>
      <c r="D71" s="1272"/>
      <c r="E71" s="1272"/>
      <c r="F71" s="1272"/>
      <c r="G71" s="1272"/>
      <c r="H71" s="1272"/>
      <c r="I71" s="1272"/>
      <c r="J71" s="1272"/>
      <c r="K71" s="1013"/>
      <c r="L71" s="1013"/>
      <c r="M71" s="1013"/>
      <c r="N71" s="1003"/>
      <c r="O71" s="1003"/>
      <c r="P71" s="1013"/>
      <c r="Q71" s="1015"/>
      <c r="R71" s="1047"/>
      <c r="S71" s="994"/>
      <c r="T71" s="994"/>
      <c r="U71" s="994"/>
      <c r="V71" s="994"/>
      <c r="W71" s="994"/>
    </row>
    <row r="72" spans="1:23" ht="23.1" customHeight="1">
      <c r="A72" s="1272"/>
      <c r="B72" s="1272"/>
      <c r="C72" s="1272"/>
      <c r="D72" s="1272"/>
      <c r="E72" s="1272"/>
      <c r="F72" s="1272"/>
      <c r="G72" s="1272"/>
      <c r="H72" s="1272"/>
      <c r="I72" s="1272"/>
      <c r="J72" s="1272"/>
      <c r="K72" s="1013"/>
      <c r="L72" s="1013"/>
      <c r="M72" s="1013"/>
      <c r="N72" s="1003"/>
      <c r="O72" s="1003"/>
      <c r="P72" s="1013"/>
      <c r="Q72" s="1015"/>
      <c r="R72" s="1047"/>
      <c r="S72" s="994"/>
      <c r="T72" s="994"/>
      <c r="U72" s="994"/>
      <c r="V72" s="994"/>
      <c r="W72" s="994"/>
    </row>
    <row r="73" spans="1:23" ht="15" customHeight="1">
      <c r="C73" s="1043"/>
      <c r="D73" s="1021"/>
      <c r="E73" s="1021"/>
      <c r="F73" s="1021"/>
      <c r="G73" s="1021"/>
      <c r="H73" s="1021"/>
      <c r="I73" s="1012"/>
      <c r="J73" s="1003"/>
      <c r="K73" s="1013"/>
      <c r="L73" s="1013"/>
      <c r="M73" s="1013"/>
      <c r="N73" s="1003"/>
      <c r="O73" s="1003"/>
      <c r="P73" s="1013"/>
      <c r="Q73" s="1015"/>
      <c r="R73" s="1047"/>
      <c r="S73" s="994"/>
      <c r="T73" s="994"/>
      <c r="U73" s="994"/>
      <c r="V73" s="994"/>
      <c r="W73" s="994"/>
    </row>
    <row r="74" spans="1:23">
      <c r="B74" s="997"/>
      <c r="C74" s="1043"/>
      <c r="D74" s="1021"/>
      <c r="E74" s="1021"/>
      <c r="F74" s="1021"/>
      <c r="G74" s="1021"/>
      <c r="H74" s="1021"/>
      <c r="I74" s="1012"/>
      <c r="J74" s="1015"/>
      <c r="K74" s="1013"/>
      <c r="L74" s="1013"/>
      <c r="M74" s="1013"/>
      <c r="N74" s="1015"/>
      <c r="O74" s="1015"/>
      <c r="P74" s="1013"/>
      <c r="Q74" s="1015"/>
      <c r="R74" s="1047"/>
      <c r="S74" s="994"/>
      <c r="T74" s="994"/>
      <c r="U74" s="994"/>
      <c r="V74" s="994"/>
      <c r="W74" s="994"/>
    </row>
    <row r="75" spans="1:23">
      <c r="A75" s="1049" t="s">
        <v>995</v>
      </c>
      <c r="B75" s="1273" t="s">
        <v>1090</v>
      </c>
      <c r="C75" s="1273"/>
      <c r="D75" s="1273"/>
      <c r="E75" s="1273"/>
      <c r="F75" s="1273"/>
      <c r="G75" s="1273"/>
      <c r="H75" s="1273"/>
      <c r="I75" s="1273"/>
      <c r="J75" s="1273"/>
    </row>
    <row r="76" spans="1:23">
      <c r="B76" s="1273"/>
      <c r="C76" s="1273"/>
      <c r="D76" s="1273"/>
      <c r="E76" s="1273"/>
      <c r="F76" s="1273"/>
      <c r="G76" s="1273"/>
      <c r="H76" s="1273"/>
      <c r="I76" s="1273"/>
      <c r="J76" s="1273"/>
    </row>
    <row r="77" spans="1:23">
      <c r="B77" s="1273"/>
      <c r="C77" s="1273"/>
      <c r="D77" s="1273"/>
      <c r="E77" s="1273"/>
      <c r="F77" s="1273"/>
      <c r="G77" s="1273"/>
      <c r="H77" s="1273"/>
      <c r="I77" s="1273"/>
      <c r="J77" s="1273"/>
      <c r="K77" s="1049"/>
    </row>
    <row r="78" spans="1:23">
      <c r="B78" s="1273"/>
      <c r="C78" s="1273"/>
      <c r="D78" s="1273"/>
      <c r="E78" s="1273"/>
      <c r="F78" s="1273"/>
      <c r="G78" s="1273"/>
      <c r="H78" s="1273"/>
      <c r="I78" s="1273"/>
      <c r="J78" s="1273"/>
      <c r="K78" s="1049"/>
    </row>
    <row r="79" spans="1:23">
      <c r="B79" s="1273"/>
      <c r="C79" s="1273"/>
      <c r="D79" s="1273"/>
      <c r="E79" s="1273"/>
      <c r="F79" s="1273"/>
      <c r="G79" s="1273"/>
      <c r="H79" s="1273"/>
      <c r="I79" s="1273"/>
      <c r="J79" s="1273"/>
      <c r="K79" s="1049"/>
    </row>
    <row r="80" spans="1:23">
      <c r="B80" s="1050"/>
      <c r="C80" s="1050"/>
      <c r="D80" s="1050"/>
      <c r="E80" s="1050"/>
      <c r="F80" s="1050"/>
      <c r="G80" s="1050"/>
      <c r="H80" s="1050"/>
      <c r="I80" s="1050"/>
      <c r="J80" s="1050"/>
      <c r="K80" s="1049"/>
    </row>
    <row r="81" spans="1:11">
      <c r="A81" s="997" t="s">
        <v>996</v>
      </c>
      <c r="B81" s="1052" t="s">
        <v>997</v>
      </c>
      <c r="C81" s="1052"/>
      <c r="D81" s="1052"/>
      <c r="E81" s="1052"/>
      <c r="F81" s="1052"/>
      <c r="G81" s="1052"/>
      <c r="H81" s="1052"/>
      <c r="I81" s="1052"/>
      <c r="J81" s="1052"/>
      <c r="K81" s="1049"/>
    </row>
    <row r="82" spans="1:11">
      <c r="B82" s="1052"/>
      <c r="C82" s="1052"/>
      <c r="D82" s="1052"/>
      <c r="E82" s="1052"/>
      <c r="F82" s="1052"/>
      <c r="G82" s="1052"/>
      <c r="H82" s="1052"/>
      <c r="I82" s="1052"/>
      <c r="J82" s="1052"/>
      <c r="K82" s="1049"/>
    </row>
    <row r="83" spans="1:11">
      <c r="A83" s="997" t="s">
        <v>998</v>
      </c>
      <c r="B83" s="1273" t="s">
        <v>1091</v>
      </c>
      <c r="C83" s="1273"/>
      <c r="D83" s="1273"/>
      <c r="E83" s="1273"/>
      <c r="F83" s="1273"/>
      <c r="G83" s="1273"/>
      <c r="H83" s="1273"/>
      <c r="I83" s="1273"/>
      <c r="J83" s="1273"/>
      <c r="K83" s="1049"/>
    </row>
    <row r="84" spans="1:11">
      <c r="B84" s="1273"/>
      <c r="C84" s="1273"/>
      <c r="D84" s="1273"/>
      <c r="E84" s="1273"/>
      <c r="F84" s="1273"/>
      <c r="G84" s="1273"/>
      <c r="H84" s="1273"/>
      <c r="I84" s="1273"/>
      <c r="J84" s="1273"/>
      <c r="K84" s="1049"/>
    </row>
    <row r="85" spans="1:11">
      <c r="B85" s="1050"/>
      <c r="C85" s="1050"/>
      <c r="D85" s="1050"/>
      <c r="E85" s="1050"/>
      <c r="F85" s="1050"/>
      <c r="G85" s="1050"/>
      <c r="H85" s="1050"/>
      <c r="I85" s="1050"/>
      <c r="J85" s="1050"/>
      <c r="K85" s="1049"/>
    </row>
    <row r="86" spans="1:11">
      <c r="A86" s="997" t="s">
        <v>999</v>
      </c>
      <c r="B86" s="997" t="s">
        <v>1092</v>
      </c>
      <c r="K86" s="1049"/>
    </row>
    <row r="87" spans="1:11">
      <c r="B87" s="1046"/>
      <c r="C87" s="1050"/>
      <c r="D87" s="1050"/>
      <c r="E87" s="1050"/>
      <c r="F87" s="1050"/>
      <c r="G87" s="1050"/>
      <c r="H87" s="1050"/>
      <c r="I87" s="1050"/>
      <c r="J87" s="1050"/>
      <c r="K87" s="1049"/>
    </row>
    <row r="88" spans="1:11">
      <c r="A88" s="1046" t="s">
        <v>1000</v>
      </c>
      <c r="B88" s="1273" t="s">
        <v>1093</v>
      </c>
      <c r="C88" s="1273"/>
      <c r="D88" s="1273"/>
      <c r="E88" s="1273"/>
      <c r="F88" s="1273"/>
      <c r="G88" s="1273"/>
      <c r="H88" s="1273"/>
      <c r="I88" s="1273"/>
      <c r="J88" s="1050"/>
    </row>
    <row r="89" spans="1:11">
      <c r="B89" s="1273"/>
      <c r="C89" s="1273"/>
      <c r="D89" s="1273"/>
      <c r="E89" s="1273"/>
      <c r="F89" s="1273"/>
      <c r="G89" s="1273"/>
      <c r="H89" s="1273"/>
      <c r="I89" s="1273"/>
      <c r="J89" s="1050"/>
    </row>
    <row r="91" spans="1:11">
      <c r="A91" s="1046" t="s">
        <v>1003</v>
      </c>
      <c r="B91" s="1273" t="s">
        <v>1094</v>
      </c>
      <c r="C91" s="1273"/>
      <c r="D91" s="1273"/>
      <c r="E91" s="1273"/>
      <c r="F91" s="1273"/>
      <c r="G91" s="1273"/>
      <c r="H91" s="1273"/>
      <c r="I91" s="1273"/>
    </row>
    <row r="92" spans="1:11">
      <c r="B92" s="1273"/>
      <c r="C92" s="1273"/>
      <c r="D92" s="1273"/>
      <c r="E92" s="1273"/>
      <c r="F92" s="1273"/>
      <c r="G92" s="1273"/>
      <c r="H92" s="1273"/>
      <c r="I92" s="1273"/>
    </row>
    <row r="94" spans="1:11">
      <c r="B94" s="1046"/>
    </row>
    <row r="95" spans="1:11">
      <c r="B95" s="997"/>
    </row>
    <row r="96" spans="1:11">
      <c r="B96" s="997"/>
    </row>
    <row r="97" spans="1:11">
      <c r="B97" s="997"/>
    </row>
    <row r="98" spans="1:11">
      <c r="B98" s="997"/>
    </row>
    <row r="99" spans="1:11">
      <c r="A99" s="1053"/>
      <c r="B99" s="1049"/>
      <c r="C99" s="1049"/>
      <c r="D99" s="1049"/>
      <c r="E99" s="1049"/>
      <c r="F99" s="1049"/>
      <c r="G99" s="1049"/>
      <c r="H99" s="1049"/>
      <c r="I99" s="1049"/>
      <c r="J99" s="1049"/>
      <c r="K99" s="1049"/>
    </row>
    <row r="100" spans="1:11">
      <c r="A100" s="1049"/>
      <c r="B100" s="1049"/>
      <c r="C100" s="1049"/>
      <c r="D100" s="1049"/>
      <c r="E100" s="1049"/>
      <c r="F100" s="1049"/>
      <c r="G100" s="1049"/>
      <c r="H100" s="1049"/>
      <c r="I100" s="1049"/>
      <c r="J100" s="1049"/>
      <c r="K100" s="1049"/>
    </row>
    <row r="101" spans="1:11">
      <c r="A101" s="1049"/>
      <c r="B101" s="1049"/>
      <c r="C101" s="1049"/>
      <c r="D101" s="1049"/>
      <c r="E101" s="1049"/>
      <c r="F101" s="1049"/>
      <c r="G101" s="1049"/>
      <c r="H101" s="1049"/>
      <c r="I101" s="1049"/>
      <c r="J101" s="1049"/>
      <c r="K101" s="1049"/>
    </row>
    <row r="102" spans="1:11">
      <c r="A102" s="1049"/>
      <c r="B102" s="1049"/>
      <c r="C102" s="1049"/>
      <c r="D102" s="1049"/>
      <c r="E102" s="1049"/>
      <c r="F102" s="1049"/>
      <c r="G102" s="1049"/>
      <c r="H102" s="1049"/>
      <c r="I102" s="1049"/>
      <c r="J102" s="1049"/>
      <c r="K102" s="1049"/>
    </row>
    <row r="103" spans="1:11">
      <c r="A103" s="1049"/>
      <c r="B103" s="1049"/>
      <c r="C103" s="1049"/>
      <c r="D103" s="1054"/>
      <c r="E103" s="1054"/>
      <c r="F103" s="1054"/>
      <c r="G103" s="1049"/>
      <c r="H103" s="1049"/>
      <c r="I103" s="1049"/>
      <c r="J103" s="1049"/>
      <c r="K103" s="1049"/>
    </row>
    <row r="104" spans="1:11">
      <c r="A104" s="1049"/>
      <c r="B104" s="1049"/>
      <c r="C104" s="1049"/>
      <c r="D104" s="1051"/>
      <c r="E104" s="1051"/>
      <c r="F104" s="1051"/>
      <c r="G104" s="1049"/>
      <c r="H104" s="1049"/>
      <c r="I104" s="1049"/>
      <c r="J104" s="1049"/>
      <c r="K104" s="1049"/>
    </row>
    <row r="105" spans="1:11">
      <c r="A105" s="1049"/>
      <c r="B105" s="1049"/>
      <c r="C105" s="1049"/>
      <c r="D105" s="1054"/>
      <c r="E105" s="1054"/>
      <c r="F105" s="1054"/>
      <c r="G105" s="1049"/>
      <c r="H105" s="1049"/>
      <c r="I105" s="1049"/>
      <c r="J105" s="1049"/>
      <c r="K105" s="1049"/>
    </row>
    <row r="106" spans="1:11">
      <c r="A106" s="1049"/>
      <c r="B106" s="1049"/>
      <c r="C106" s="1049"/>
      <c r="D106" s="1049"/>
      <c r="E106" s="1049"/>
      <c r="F106" s="1049"/>
      <c r="G106" s="1049"/>
      <c r="H106" s="1049"/>
      <c r="I106" s="1049"/>
      <c r="J106" s="1049"/>
      <c r="K106" s="1049"/>
    </row>
    <row r="107" spans="1:11">
      <c r="A107" s="1049"/>
      <c r="B107" s="1049"/>
      <c r="C107" s="1049"/>
      <c r="D107" s="1049"/>
      <c r="E107" s="1049"/>
      <c r="F107" s="1049"/>
      <c r="G107" s="1049"/>
      <c r="H107" s="1049"/>
      <c r="I107" s="1049"/>
      <c r="J107" s="1049"/>
      <c r="K107" s="1049"/>
    </row>
    <row r="108" spans="1:11">
      <c r="A108" s="1049"/>
      <c r="B108" s="1049"/>
      <c r="C108" s="1049"/>
      <c r="D108" s="1049"/>
      <c r="E108" s="1049"/>
      <c r="F108" s="1049"/>
      <c r="G108" s="1049"/>
      <c r="H108" s="1049"/>
      <c r="I108" s="1049"/>
      <c r="J108" s="1049"/>
      <c r="K108" s="1049"/>
    </row>
    <row r="109" spans="1:11">
      <c r="A109" s="1049"/>
      <c r="C109" s="1049"/>
      <c r="D109" s="1049"/>
      <c r="E109" s="1049"/>
      <c r="F109" s="1049"/>
      <c r="G109" s="1049"/>
      <c r="H109" s="1049"/>
      <c r="I109" s="1049"/>
      <c r="J109" s="1049"/>
      <c r="K109" s="1049"/>
    </row>
    <row r="110" spans="1:11">
      <c r="A110" s="1049"/>
      <c r="B110" s="1049"/>
      <c r="C110" s="1049"/>
      <c r="D110" s="1049"/>
      <c r="E110" s="1049"/>
      <c r="F110" s="1049"/>
      <c r="G110" s="1049"/>
      <c r="H110" s="1049"/>
      <c r="I110" s="1049"/>
      <c r="J110" s="1049"/>
      <c r="K110" s="1049"/>
    </row>
    <row r="111" spans="1:11">
      <c r="A111" s="1049"/>
      <c r="B111" s="1049"/>
      <c r="C111" s="1049"/>
      <c r="D111" s="1049"/>
      <c r="E111" s="1049"/>
      <c r="F111" s="1049"/>
      <c r="G111" s="1049"/>
      <c r="H111" s="1049"/>
      <c r="I111" s="1049"/>
      <c r="J111" s="1049"/>
      <c r="K111" s="1049"/>
    </row>
  </sheetData>
  <mergeCells count="17">
    <mergeCell ref="A71:J72"/>
    <mergeCell ref="B75:J79"/>
    <mergeCell ref="B83:J84"/>
    <mergeCell ref="B88:I89"/>
    <mergeCell ref="B91:I92"/>
    <mergeCell ref="R17:R18"/>
    <mergeCell ref="B68:C68"/>
    <mergeCell ref="I9:J9"/>
    <mergeCell ref="K9:M9"/>
    <mergeCell ref="N9:O9"/>
    <mergeCell ref="P9:Q9"/>
    <mergeCell ref="P11:Q11"/>
    <mergeCell ref="R19:R20"/>
    <mergeCell ref="B39:C39"/>
    <mergeCell ref="P42:Q42"/>
    <mergeCell ref="R46:R47"/>
    <mergeCell ref="R48:R49"/>
  </mergeCells>
  <pageMargins left="0.7" right="0.7" top="0.75" bottom="0.75" header="0.3" footer="0.3"/>
  <pageSetup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Q65"/>
  <sheetViews>
    <sheetView tabSelected="1" view="pageBreakPreview" zoomScale="60" zoomScaleNormal="100" workbookViewId="0">
      <selection activeCell="D3" sqref="D3"/>
    </sheetView>
  </sheetViews>
  <sheetFormatPr defaultColWidth="11.85546875" defaultRowHeight="12.75"/>
  <cols>
    <col min="1" max="1" width="9" style="1073" customWidth="1"/>
    <col min="2" max="2" width="15" style="1074" bestFit="1" customWidth="1"/>
    <col min="3" max="3" width="4.140625" style="1074" customWidth="1"/>
    <col min="4" max="4" width="21" style="1074" bestFit="1" customWidth="1"/>
    <col min="5" max="5" width="29.7109375" style="1074" bestFit="1" customWidth="1"/>
    <col min="6" max="6" width="21.42578125" style="1074" customWidth="1"/>
    <col min="7" max="7" width="2.7109375" style="1074" customWidth="1"/>
    <col min="8" max="8" width="16.85546875" style="1074" customWidth="1"/>
    <col min="9" max="9" width="5.42578125" style="1074" customWidth="1"/>
    <col min="10" max="10" width="17.42578125" style="1074" customWidth="1"/>
    <col min="11" max="11" width="3.5703125" style="1074" customWidth="1"/>
    <col min="12" max="12" width="20.5703125" style="1074" customWidth="1"/>
    <col min="13" max="13" width="16" style="1074" customWidth="1"/>
    <col min="14" max="14" width="19.140625" style="1074" bestFit="1" customWidth="1"/>
    <col min="15" max="15" width="16" style="1077" bestFit="1" customWidth="1"/>
    <col min="16" max="16" width="15.28515625" style="1074" bestFit="1" customWidth="1"/>
    <col min="17" max="16384" width="11.85546875" style="1074"/>
  </cols>
  <sheetData>
    <row r="1" spans="1:17" ht="15">
      <c r="A1" s="1073" t="s">
        <v>1044</v>
      </c>
      <c r="L1" s="1075"/>
      <c r="N1" s="1076" t="s">
        <v>1045</v>
      </c>
    </row>
    <row r="2" spans="1:17">
      <c r="A2" s="1078" t="s">
        <v>798</v>
      </c>
      <c r="L2" s="1079"/>
      <c r="N2" s="1079" t="s">
        <v>1046</v>
      </c>
    </row>
    <row r="3" spans="1:17">
      <c r="A3" s="1073" t="s">
        <v>1047</v>
      </c>
      <c r="N3" s="1079" t="s">
        <v>1048</v>
      </c>
    </row>
    <row r="4" spans="1:17">
      <c r="A4" s="1073" t="s">
        <v>1049</v>
      </c>
      <c r="N4" s="1076" t="s">
        <v>1050</v>
      </c>
    </row>
    <row r="5" spans="1:17">
      <c r="A5" s="1073" t="s">
        <v>1051</v>
      </c>
    </row>
    <row r="6" spans="1:17">
      <c r="A6" s="1073" t="s">
        <v>931</v>
      </c>
    </row>
    <row r="7" spans="1:17">
      <c r="A7" s="1275" t="s">
        <v>1052</v>
      </c>
      <c r="B7" s="1275"/>
      <c r="C7" s="1275"/>
      <c r="D7" s="1275"/>
      <c r="E7" s="1275"/>
      <c r="F7" s="1275"/>
      <c r="G7" s="1275"/>
      <c r="H7" s="1275"/>
      <c r="I7" s="1275"/>
      <c r="J7" s="1275"/>
      <c r="K7" s="1275"/>
      <c r="L7" s="1275"/>
      <c r="M7" s="1275"/>
      <c r="N7" s="1275"/>
      <c r="O7" s="1080"/>
    </row>
    <row r="8" spans="1:17">
      <c r="B8" s="1074" t="s">
        <v>1053</v>
      </c>
    </row>
    <row r="9" spans="1:17">
      <c r="A9" s="1081" t="s">
        <v>148</v>
      </c>
      <c r="B9" s="1082" t="s">
        <v>149</v>
      </c>
      <c r="C9" s="1082"/>
      <c r="D9" s="1082" t="s">
        <v>150</v>
      </c>
      <c r="E9" s="1082" t="s">
        <v>151</v>
      </c>
      <c r="F9" s="1082" t="s">
        <v>152</v>
      </c>
      <c r="G9" s="1082"/>
      <c r="H9" s="1082" t="s">
        <v>1054</v>
      </c>
      <c r="I9" s="1082"/>
      <c r="J9" s="1082" t="s">
        <v>154</v>
      </c>
      <c r="K9" s="1082"/>
      <c r="L9" s="1082" t="s">
        <v>1055</v>
      </c>
      <c r="M9" s="1082" t="s">
        <v>156</v>
      </c>
      <c r="N9" s="1082" t="s">
        <v>1056</v>
      </c>
      <c r="Q9" s="1276"/>
    </row>
    <row r="10" spans="1:17" ht="15">
      <c r="F10" s="1083"/>
      <c r="G10" s="1083"/>
      <c r="H10" s="1083"/>
      <c r="Q10" s="1276"/>
    </row>
    <row r="11" spans="1:17" ht="38.25">
      <c r="A11" s="1073" t="s">
        <v>1057</v>
      </c>
      <c r="B11" s="1074" t="s">
        <v>1058</v>
      </c>
      <c r="D11" s="1084" t="s">
        <v>1059</v>
      </c>
      <c r="E11" s="1082" t="s">
        <v>944</v>
      </c>
      <c r="F11" s="1084" t="s">
        <v>1060</v>
      </c>
      <c r="G11" s="1084"/>
      <c r="H11" s="1084" t="s">
        <v>1061</v>
      </c>
      <c r="I11" s="1083"/>
      <c r="J11" s="1084" t="s">
        <v>1062</v>
      </c>
      <c r="L11" s="1084" t="s">
        <v>1063</v>
      </c>
      <c r="M11" s="1084" t="s">
        <v>1064</v>
      </c>
      <c r="N11" s="1084" t="s">
        <v>1065</v>
      </c>
    </row>
    <row r="12" spans="1:17" ht="15">
      <c r="D12" s="1084"/>
      <c r="E12" s="1082"/>
      <c r="F12" s="1084"/>
      <c r="G12" s="1084"/>
      <c r="H12" s="1084"/>
      <c r="I12" s="1083"/>
      <c r="J12" s="1084"/>
      <c r="L12" s="1084"/>
      <c r="N12" s="1085"/>
    </row>
    <row r="13" spans="1:17" ht="15">
      <c r="A13" s="1086" t="s">
        <v>1066</v>
      </c>
      <c r="D13" s="1084"/>
      <c r="E13" s="1082"/>
      <c r="F13" s="1084"/>
      <c r="G13" s="1084"/>
      <c r="H13" s="1084"/>
      <c r="I13" s="1083"/>
      <c r="J13" s="1084"/>
      <c r="L13" s="1084"/>
      <c r="N13" s="1084"/>
    </row>
    <row r="14" spans="1:17">
      <c r="D14" s="1077"/>
      <c r="E14" s="1077"/>
      <c r="F14" s="1087"/>
      <c r="G14" s="1087"/>
      <c r="H14" s="1087"/>
      <c r="I14" s="1087"/>
      <c r="J14" s="1087"/>
      <c r="K14" s="1087"/>
      <c r="L14" s="1087"/>
      <c r="M14" s="1077"/>
      <c r="N14" s="1087"/>
    </row>
    <row r="15" spans="1:17">
      <c r="A15" s="1088">
        <v>1</v>
      </c>
      <c r="B15" s="1089" t="s">
        <v>1067</v>
      </c>
      <c r="D15" s="1077">
        <v>11067842</v>
      </c>
      <c r="E15" s="1077" t="s">
        <v>1068</v>
      </c>
      <c r="F15" s="1087">
        <v>4420720.4099999992</v>
      </c>
      <c r="G15" s="1087"/>
      <c r="H15" s="1090">
        <f>+F15/D15</f>
        <v>0.39942026729329883</v>
      </c>
      <c r="I15" s="1091"/>
      <c r="J15" s="1087">
        <f>-F15</f>
        <v>-4420720.4099999992</v>
      </c>
      <c r="K15" s="1087"/>
      <c r="L15" s="1087">
        <f>+F15+J15</f>
        <v>0</v>
      </c>
      <c r="M15" s="1077"/>
      <c r="N15" s="1087">
        <f>+D15-L15</f>
        <v>11067842</v>
      </c>
    </row>
    <row r="16" spans="1:17">
      <c r="A16" s="1088"/>
      <c r="B16" s="1089"/>
      <c r="D16" s="1077"/>
      <c r="E16" s="1077"/>
      <c r="F16" s="1092"/>
      <c r="G16" s="1092"/>
      <c r="H16" s="1090"/>
      <c r="I16" s="1093"/>
      <c r="J16" s="1087"/>
      <c r="K16" s="1087"/>
      <c r="L16" s="1087"/>
      <c r="M16" s="1077"/>
      <c r="N16" s="1087"/>
    </row>
    <row r="17" spans="1:15">
      <c r="A17" s="1088">
        <f>+A15+1</f>
        <v>2</v>
      </c>
      <c r="B17" s="1089" t="s">
        <v>1069</v>
      </c>
      <c r="D17" s="1077">
        <v>-52771599</v>
      </c>
      <c r="E17" s="1077" t="s">
        <v>1070</v>
      </c>
      <c r="F17" s="1087">
        <v>-21108639.640000001</v>
      </c>
      <c r="G17" s="1087"/>
      <c r="H17" s="1090">
        <f>+F17/D17</f>
        <v>0.40000000075798348</v>
      </c>
      <c r="I17" s="1093"/>
      <c r="J17" s="1087"/>
      <c r="K17" s="1087"/>
      <c r="L17" s="1087">
        <f>+F17+J17</f>
        <v>-21108639.640000001</v>
      </c>
      <c r="M17" s="1077" t="s">
        <v>954</v>
      </c>
      <c r="N17" s="1087">
        <f>+D17-L17</f>
        <v>-31662959.359999999</v>
      </c>
    </row>
    <row r="18" spans="1:15">
      <c r="A18" s="1088"/>
      <c r="B18" s="1089"/>
      <c r="D18" s="1077"/>
      <c r="E18" s="1077"/>
      <c r="F18" s="1094"/>
      <c r="G18" s="1094"/>
      <c r="H18" s="1095"/>
      <c r="I18" s="1093"/>
      <c r="J18" s="1087"/>
      <c r="K18" s="1087"/>
      <c r="L18" s="1087"/>
      <c r="M18" s="1077"/>
      <c r="N18" s="1087"/>
    </row>
    <row r="19" spans="1:15">
      <c r="A19" s="1088">
        <f>+A17+1</f>
        <v>3</v>
      </c>
      <c r="B19" s="1089" t="s">
        <v>1071</v>
      </c>
      <c r="D19" s="1077">
        <v>-159788337</v>
      </c>
      <c r="E19" s="1077" t="s">
        <v>1072</v>
      </c>
      <c r="F19" s="1087">
        <v>-63912404.369999982</v>
      </c>
      <c r="G19" s="1087"/>
      <c r="H19" s="1090">
        <f>+F19/D19</f>
        <v>0.39998166055135792</v>
      </c>
      <c r="I19" s="1093"/>
      <c r="J19" s="1087">
        <v>-160713.60000000001</v>
      </c>
      <c r="K19" s="1087"/>
      <c r="L19" s="1087">
        <f>+F19+J19-L20</f>
        <v>-42122239.969999984</v>
      </c>
      <c r="M19" s="1077" t="s">
        <v>954</v>
      </c>
      <c r="N19" s="1087">
        <f>+D19-L19-L20</f>
        <v>-95715219.030000016</v>
      </c>
    </row>
    <row r="20" spans="1:15">
      <c r="A20" s="1088"/>
      <c r="B20" s="1089"/>
      <c r="D20" s="1077"/>
      <c r="E20" s="1077"/>
      <c r="H20" s="1082"/>
      <c r="I20" s="1096"/>
      <c r="J20" s="1087"/>
      <c r="K20" s="1087"/>
      <c r="L20" s="1087">
        <v>-21950878</v>
      </c>
      <c r="M20" s="1077" t="s">
        <v>1073</v>
      </c>
      <c r="N20" s="1087"/>
    </row>
    <row r="21" spans="1:15">
      <c r="A21" s="1088">
        <f>+A19+1</f>
        <v>4</v>
      </c>
      <c r="B21" s="1089" t="s">
        <v>1074</v>
      </c>
      <c r="D21" s="1077">
        <v>-30437384</v>
      </c>
      <c r="E21" s="1077" t="s">
        <v>1075</v>
      </c>
      <c r="H21" s="1082"/>
      <c r="O21" s="1074"/>
    </row>
    <row r="22" spans="1:15" ht="15">
      <c r="A22" s="1088">
        <f>+A21+1</f>
        <v>5</v>
      </c>
      <c r="B22" s="1089"/>
      <c r="D22" s="1097">
        <v>-11104791</v>
      </c>
      <c r="E22" s="1077" t="s">
        <v>1076</v>
      </c>
      <c r="F22" s="1083"/>
      <c r="G22" s="1083"/>
      <c r="H22" s="1098"/>
      <c r="I22" s="1093"/>
      <c r="J22" s="1087"/>
      <c r="K22" s="1087"/>
      <c r="L22" s="1087"/>
      <c r="M22" s="1077"/>
      <c r="N22" s="1087"/>
    </row>
    <row r="23" spans="1:15">
      <c r="A23" s="1088">
        <f>+A22+1</f>
        <v>6</v>
      </c>
      <c r="B23" s="1089" t="s">
        <v>1077</v>
      </c>
      <c r="D23" s="1077">
        <f>+D21-D22</f>
        <v>-19332593</v>
      </c>
      <c r="E23" s="1077"/>
      <c r="F23" s="1087">
        <v>-7733037.1300000008</v>
      </c>
      <c r="G23" s="1087"/>
      <c r="H23" s="1090">
        <f>+F23/D23</f>
        <v>0.39999999637917172</v>
      </c>
      <c r="I23" s="1093"/>
      <c r="J23" s="1087">
        <f>-J15-J19</f>
        <v>4581434.0099999988</v>
      </c>
      <c r="K23" s="1087"/>
      <c r="L23" s="1087">
        <f>+F23+J23</f>
        <v>-3151603.120000002</v>
      </c>
      <c r="M23" s="1077" t="s">
        <v>1073</v>
      </c>
      <c r="N23" s="1087">
        <f>+D23-L23</f>
        <v>-16180989.879999999</v>
      </c>
    </row>
    <row r="24" spans="1:15">
      <c r="A24" s="1088"/>
      <c r="D24" s="1077"/>
      <c r="E24" s="1077"/>
      <c r="F24" s="1092"/>
      <c r="G24" s="1092"/>
      <c r="H24" s="1090"/>
      <c r="I24" s="1093"/>
      <c r="J24" s="1087"/>
      <c r="K24" s="1087"/>
      <c r="L24" s="1087"/>
      <c r="M24" s="1077"/>
      <c r="N24" s="1087"/>
    </row>
    <row r="25" spans="1:15" ht="15">
      <c r="A25" s="1088">
        <f>+A23+1</f>
        <v>7</v>
      </c>
      <c r="B25" s="1074" t="s">
        <v>118</v>
      </c>
      <c r="D25" s="1099">
        <f>+D23+D19+D17+D15</f>
        <v>-220824687</v>
      </c>
      <c r="E25" s="1074" t="s">
        <v>1078</v>
      </c>
      <c r="F25" s="1099">
        <f>SUM(F15:F23)</f>
        <v>-88333360.729999974</v>
      </c>
      <c r="G25" s="1100"/>
      <c r="H25" s="1101"/>
      <c r="I25" s="1083"/>
      <c r="J25" s="1099">
        <f>SUM(J15:J23)</f>
        <v>0</v>
      </c>
      <c r="K25" s="1087"/>
      <c r="L25" s="1099">
        <f>SUM(L15:L23)</f>
        <v>-88333360.729999989</v>
      </c>
      <c r="M25" s="1077"/>
      <c r="N25" s="1099">
        <f>SUM(N15:N23)</f>
        <v>-132491326.27000001</v>
      </c>
    </row>
    <row r="26" spans="1:15">
      <c r="A26" s="1088"/>
      <c r="D26" s="1077"/>
      <c r="E26" s="1077"/>
      <c r="F26" s="1092"/>
      <c r="G26" s="1092"/>
      <c r="H26" s="1090"/>
      <c r="I26" s="1092"/>
      <c r="J26" s="1087"/>
      <c r="K26" s="1087"/>
      <c r="L26" s="1087"/>
      <c r="M26" s="1077"/>
      <c r="N26" s="1087"/>
    </row>
    <row r="27" spans="1:15">
      <c r="A27" s="1088"/>
      <c r="H27" s="1082"/>
      <c r="J27" s="1087"/>
      <c r="K27" s="1087"/>
      <c r="M27" s="1077"/>
    </row>
    <row r="28" spans="1:15">
      <c r="A28" s="1102" t="s">
        <v>1079</v>
      </c>
      <c r="D28" s="1077"/>
      <c r="E28" s="1077"/>
      <c r="F28" s="1092"/>
      <c r="G28" s="1092"/>
      <c r="H28" s="1090"/>
      <c r="I28" s="1092"/>
      <c r="J28" s="1087"/>
      <c r="K28" s="1087"/>
      <c r="L28" s="1087"/>
      <c r="M28" s="1077"/>
      <c r="N28" s="1087"/>
    </row>
    <row r="29" spans="1:15" ht="15">
      <c r="A29" s="1088"/>
      <c r="F29" s="1094"/>
      <c r="G29" s="1094"/>
      <c r="H29" s="1095"/>
      <c r="J29" s="1083"/>
      <c r="K29" s="1087"/>
      <c r="L29" s="1087"/>
      <c r="N29" s="1087"/>
    </row>
    <row r="30" spans="1:15">
      <c r="A30" s="1088">
        <f>+A25+1</f>
        <v>8</v>
      </c>
      <c r="B30" s="1089" t="s">
        <v>1067</v>
      </c>
      <c r="D30" s="1077">
        <v>1273849.8400000001</v>
      </c>
      <c r="E30" s="1089" t="s">
        <v>630</v>
      </c>
      <c r="F30" s="1087">
        <v>507215.55</v>
      </c>
      <c r="G30" s="1087"/>
      <c r="H30" s="1090">
        <f>+F30/D30</f>
        <v>0.3981753061255634</v>
      </c>
      <c r="I30" s="1094"/>
      <c r="J30" s="1087">
        <f>-F30</f>
        <v>-507215.55</v>
      </c>
      <c r="K30" s="1087"/>
      <c r="L30" s="1087">
        <f>+F30+J30</f>
        <v>0</v>
      </c>
      <c r="N30" s="1087">
        <f>+D30-L30</f>
        <v>1273849.8400000001</v>
      </c>
    </row>
    <row r="31" spans="1:15">
      <c r="A31" s="1088"/>
      <c r="B31" s="1089"/>
      <c r="D31" s="1077"/>
      <c r="E31" s="1077"/>
      <c r="F31" s="1092"/>
      <c r="G31" s="1092"/>
      <c r="H31" s="1090"/>
      <c r="I31" s="1092"/>
      <c r="J31" s="1087"/>
      <c r="K31" s="1087"/>
      <c r="L31" s="1087"/>
      <c r="N31" s="1087"/>
    </row>
    <row r="32" spans="1:15">
      <c r="A32" s="1088">
        <f>+A30+1</f>
        <v>9</v>
      </c>
      <c r="B32" s="1089" t="s">
        <v>1071</v>
      </c>
      <c r="D32" s="1077">
        <v>-26144513.460000001</v>
      </c>
      <c r="E32" s="1089" t="s">
        <v>630</v>
      </c>
      <c r="F32" s="1087">
        <v>-10457962.579999998</v>
      </c>
      <c r="G32" s="1087"/>
      <c r="H32" s="1090">
        <f>+F32/D32</f>
        <v>0.40000601258081314</v>
      </c>
      <c r="I32" s="1092"/>
      <c r="J32" s="1087">
        <v>-44324</v>
      </c>
      <c r="K32" s="1087"/>
      <c r="L32" s="1087">
        <f>+F32+J32-L33</f>
        <v>-9984246.5799999982</v>
      </c>
      <c r="M32" s="1077" t="s">
        <v>954</v>
      </c>
      <c r="N32" s="1087">
        <f>+D32-L32-L33</f>
        <v>-15642226.880000003</v>
      </c>
    </row>
    <row r="33" spans="1:17">
      <c r="A33" s="1088"/>
      <c r="B33" s="1089"/>
      <c r="D33" s="1077"/>
      <c r="E33" s="1089"/>
      <c r="F33" s="1087"/>
      <c r="G33" s="1087"/>
      <c r="H33" s="1090"/>
      <c r="I33" s="1092"/>
      <c r="J33" s="1087"/>
      <c r="K33" s="1087"/>
      <c r="L33" s="1087">
        <v>-518040</v>
      </c>
      <c r="M33" s="1077" t="s">
        <v>1073</v>
      </c>
      <c r="N33" s="1087"/>
    </row>
    <row r="34" spans="1:17">
      <c r="A34" s="1088"/>
      <c r="B34" s="1089"/>
      <c r="D34" s="1077"/>
      <c r="E34" s="1077"/>
      <c r="H34" s="1082"/>
      <c r="I34" s="1103"/>
      <c r="J34" s="1087"/>
      <c r="K34" s="1087"/>
      <c r="L34" s="1087"/>
      <c r="N34" s="1087"/>
    </row>
    <row r="35" spans="1:17" s="1077" customFormat="1">
      <c r="A35" s="1088">
        <f>+A32+1</f>
        <v>10</v>
      </c>
      <c r="B35" s="1089" t="s">
        <v>1077</v>
      </c>
      <c r="C35" s="1074"/>
      <c r="D35" s="1104">
        <v>-499418.21</v>
      </c>
      <c r="E35" s="1089" t="s">
        <v>630</v>
      </c>
      <c r="F35" s="1087">
        <v>-199767.28999999998</v>
      </c>
      <c r="G35" s="1087"/>
      <c r="H35" s="1090">
        <f>+F35/D35</f>
        <v>0.40000001201397917</v>
      </c>
      <c r="I35" s="1092"/>
      <c r="J35" s="1087">
        <f>-J30-J32</f>
        <v>551539.55000000005</v>
      </c>
      <c r="K35" s="1087"/>
      <c r="L35" s="1087">
        <f>+F35+J35</f>
        <v>351772.26000000007</v>
      </c>
      <c r="M35" s="1077" t="s">
        <v>1073</v>
      </c>
      <c r="N35" s="1087">
        <f>+D35-L35</f>
        <v>-851190.47000000009</v>
      </c>
      <c r="P35" s="1074"/>
      <c r="Q35" s="1074"/>
    </row>
    <row r="36" spans="1:17" s="1077" customFormat="1">
      <c r="A36" s="1088"/>
      <c r="B36" s="1074"/>
      <c r="C36" s="1074"/>
      <c r="D36" s="1104"/>
      <c r="F36" s="1092"/>
      <c r="G36" s="1092"/>
      <c r="H36" s="1090"/>
      <c r="I36" s="1092"/>
      <c r="J36" s="1087"/>
      <c r="K36" s="1087"/>
      <c r="L36" s="1087"/>
      <c r="N36" s="1087"/>
      <c r="P36" s="1074"/>
      <c r="Q36" s="1074"/>
    </row>
    <row r="37" spans="1:17" s="1077" customFormat="1" ht="13.5" thickBot="1">
      <c r="A37" s="1088">
        <f>+A35+1</f>
        <v>11</v>
      </c>
      <c r="B37" s="1074" t="s">
        <v>118</v>
      </c>
      <c r="C37" s="1074"/>
      <c r="D37" s="1105">
        <f>SUM(D30:D35)</f>
        <v>-25370081.830000002</v>
      </c>
      <c r="E37" s="1074" t="s">
        <v>1080</v>
      </c>
      <c r="F37" s="1099">
        <f>SUM(F30:F35)</f>
        <v>-10150514.319999997</v>
      </c>
      <c r="G37" s="1100"/>
      <c r="H37" s="1106"/>
      <c r="I37" s="1074"/>
      <c r="J37" s="1099">
        <f>SUM(J30:J35)</f>
        <v>0</v>
      </c>
      <c r="K37" s="1087"/>
      <c r="L37" s="1099">
        <f>SUM(L30:L35)</f>
        <v>-10150514.319999998</v>
      </c>
      <c r="M37" s="1074"/>
      <c r="N37" s="1099">
        <f>SUM(N30:N35)</f>
        <v>-15219567.510000004</v>
      </c>
      <c r="P37" s="1074"/>
      <c r="Q37" s="1074"/>
    </row>
    <row r="38" spans="1:17" ht="13.5" thickTop="1">
      <c r="A38" s="1088"/>
      <c r="H38" s="1082"/>
    </row>
    <row r="39" spans="1:17">
      <c r="A39" s="1088"/>
      <c r="H39" s="1082"/>
    </row>
    <row r="40" spans="1:17">
      <c r="A40" s="1088"/>
      <c r="H40" s="1082"/>
    </row>
    <row r="41" spans="1:17">
      <c r="A41" s="1088"/>
      <c r="H41" s="1082"/>
    </row>
    <row r="42" spans="1:17" ht="15">
      <c r="A42" s="1277" t="s">
        <v>1081</v>
      </c>
      <c r="B42" s="1277"/>
      <c r="C42" s="1277"/>
      <c r="D42" s="1277"/>
      <c r="E42" s="1277"/>
      <c r="F42" s="1277"/>
      <c r="G42" s="1277"/>
      <c r="H42" s="1277"/>
      <c r="J42" s="1083"/>
      <c r="K42" s="1083"/>
      <c r="L42" s="1083"/>
    </row>
    <row r="43" spans="1:17" ht="15">
      <c r="A43" s="1277"/>
      <c r="B43" s="1277"/>
      <c r="C43" s="1277"/>
      <c r="D43" s="1277"/>
      <c r="E43" s="1277"/>
      <c r="F43" s="1277"/>
      <c r="G43" s="1277"/>
      <c r="H43" s="1277"/>
      <c r="J43" s="1083"/>
      <c r="K43" s="1083"/>
      <c r="L43" s="1083"/>
    </row>
    <row r="44" spans="1:17" ht="15">
      <c r="A44" s="1277"/>
      <c r="B44" s="1277"/>
      <c r="C44" s="1277"/>
      <c r="D44" s="1277"/>
      <c r="E44" s="1277"/>
      <c r="F44" s="1277"/>
      <c r="G44" s="1277"/>
      <c r="H44" s="1277"/>
      <c r="J44" s="1083"/>
      <c r="K44" s="1083"/>
      <c r="L44" s="1083"/>
    </row>
    <row r="45" spans="1:17" ht="15">
      <c r="A45" s="1277"/>
      <c r="B45" s="1277"/>
      <c r="C45" s="1277"/>
      <c r="D45" s="1277"/>
      <c r="E45" s="1277"/>
      <c r="F45" s="1277"/>
      <c r="G45" s="1277"/>
      <c r="H45" s="1277"/>
      <c r="J45" s="1083"/>
      <c r="K45" s="1083"/>
      <c r="L45" s="1083"/>
    </row>
    <row r="46" spans="1:17" ht="15">
      <c r="A46" s="1088"/>
      <c r="J46" s="1083"/>
      <c r="K46" s="1083"/>
      <c r="L46" s="1083"/>
    </row>
    <row r="47" spans="1:17" s="1077" customFormat="1" ht="15">
      <c r="A47" s="1073" t="s">
        <v>1082</v>
      </c>
      <c r="B47" s="1277" t="s">
        <v>1083</v>
      </c>
      <c r="C47" s="1277"/>
      <c r="D47" s="1277"/>
      <c r="E47" s="1277"/>
      <c r="F47" s="1277"/>
      <c r="G47" s="1277"/>
      <c r="H47" s="1277"/>
      <c r="I47" s="1074"/>
      <c r="J47" s="1083"/>
      <c r="K47" s="1083"/>
      <c r="L47" s="1083"/>
      <c r="M47" s="1074"/>
      <c r="N47" s="1074"/>
      <c r="P47" s="1074"/>
      <c r="Q47" s="1074"/>
    </row>
    <row r="48" spans="1:17" s="1077" customFormat="1" ht="12.6" customHeight="1">
      <c r="A48" s="1073"/>
      <c r="B48" s="1277"/>
      <c r="C48" s="1277"/>
      <c r="D48" s="1277"/>
      <c r="E48" s="1277"/>
      <c r="F48" s="1277"/>
      <c r="G48" s="1277"/>
      <c r="H48" s="1277"/>
      <c r="I48" s="1074"/>
      <c r="J48" s="1083"/>
      <c r="K48" s="1083"/>
      <c r="L48" s="1083"/>
      <c r="M48" s="1074"/>
      <c r="N48" s="1074"/>
      <c r="P48" s="1074"/>
      <c r="Q48" s="1074"/>
    </row>
    <row r="49" spans="1:17" s="1077" customFormat="1" ht="15">
      <c r="A49" s="1073"/>
      <c r="B49" s="1277"/>
      <c r="C49" s="1277"/>
      <c r="D49" s="1277"/>
      <c r="E49" s="1277"/>
      <c r="F49" s="1277"/>
      <c r="G49" s="1277"/>
      <c r="H49" s="1277"/>
      <c r="I49" s="1074"/>
      <c r="J49" s="1083"/>
      <c r="K49" s="1083"/>
      <c r="L49" s="1083"/>
      <c r="M49" s="1083"/>
      <c r="N49" s="1083"/>
      <c r="O49" s="1083"/>
      <c r="P49" s="1083"/>
      <c r="Q49" s="1083"/>
    </row>
    <row r="50" spans="1:17" ht="15">
      <c r="A50" s="1074"/>
      <c r="I50" s="1083"/>
      <c r="J50" s="1083"/>
      <c r="K50" s="1083"/>
      <c r="L50" s="1083"/>
      <c r="M50" s="1083"/>
      <c r="N50" s="1083"/>
      <c r="O50" s="1083"/>
      <c r="P50" s="1083"/>
      <c r="Q50" s="1083"/>
    </row>
    <row r="51" spans="1:17" ht="15.6" customHeight="1">
      <c r="A51" s="1073" t="s">
        <v>1084</v>
      </c>
      <c r="B51" s="1277" t="s">
        <v>1085</v>
      </c>
      <c r="C51" s="1277"/>
      <c r="D51" s="1277"/>
      <c r="E51" s="1277"/>
      <c r="F51" s="1277"/>
      <c r="G51" s="1277"/>
      <c r="H51" s="1277"/>
      <c r="J51" s="1083"/>
      <c r="K51" s="1083"/>
      <c r="L51" s="1083"/>
      <c r="M51" s="1083"/>
      <c r="N51" s="1083"/>
      <c r="O51" s="1083"/>
      <c r="P51" s="1083"/>
      <c r="Q51" s="1083"/>
    </row>
    <row r="52" spans="1:17" s="1077" customFormat="1" ht="15">
      <c r="A52" s="1073"/>
      <c r="B52" s="1277"/>
      <c r="C52" s="1277"/>
      <c r="D52" s="1277"/>
      <c r="E52" s="1277"/>
      <c r="F52" s="1277"/>
      <c r="G52" s="1277"/>
      <c r="H52" s="1277"/>
      <c r="I52" s="1074"/>
      <c r="J52" s="1083"/>
      <c r="K52" s="1083"/>
      <c r="L52" s="1083"/>
      <c r="M52" s="1083"/>
      <c r="N52" s="1083"/>
      <c r="O52" s="1083"/>
      <c r="P52" s="1083"/>
      <c r="Q52" s="1083"/>
    </row>
    <row r="53" spans="1:17" s="1077" customFormat="1" ht="15">
      <c r="A53" s="1074"/>
      <c r="B53" s="1074"/>
      <c r="C53" s="1074"/>
      <c r="D53" s="1074"/>
      <c r="E53" s="1074"/>
      <c r="F53" s="1074"/>
      <c r="G53" s="1074"/>
      <c r="H53" s="1074"/>
      <c r="I53" s="1074"/>
      <c r="J53" s="1083"/>
      <c r="K53" s="1083"/>
      <c r="L53" s="1083"/>
      <c r="M53" s="1083"/>
      <c r="N53" s="1083"/>
      <c r="O53" s="1083"/>
      <c r="P53" s="1083"/>
      <c r="Q53" s="1083"/>
    </row>
    <row r="54" spans="1:17" s="1077" customFormat="1" ht="15">
      <c r="A54" s="1073" t="s">
        <v>1086</v>
      </c>
      <c r="B54" s="1277" t="s">
        <v>1087</v>
      </c>
      <c r="C54" s="1277"/>
      <c r="D54" s="1277"/>
      <c r="E54" s="1277"/>
      <c r="F54" s="1277"/>
      <c r="G54" s="1277"/>
      <c r="H54" s="1277"/>
      <c r="I54" s="1277"/>
      <c r="J54" s="1083"/>
      <c r="K54" s="1083"/>
      <c r="L54" s="1083"/>
      <c r="M54" s="1083"/>
      <c r="N54" s="1083"/>
      <c r="O54" s="1083"/>
      <c r="P54" s="1083"/>
      <c r="Q54" s="1083"/>
    </row>
    <row r="55" spans="1:17" s="1077" customFormat="1" ht="15">
      <c r="A55" s="1107"/>
      <c r="B55" s="1277"/>
      <c r="C55" s="1277"/>
      <c r="D55" s="1277"/>
      <c r="E55" s="1277"/>
      <c r="F55" s="1277"/>
      <c r="G55" s="1277"/>
      <c r="H55" s="1277"/>
      <c r="I55" s="1277"/>
      <c r="J55" s="1083"/>
      <c r="K55" s="1083"/>
      <c r="L55" s="1083"/>
      <c r="M55" s="1083"/>
      <c r="N55" s="1083"/>
      <c r="O55" s="1083"/>
      <c r="P55" s="1083"/>
      <c r="Q55" s="1083"/>
    </row>
    <row r="56" spans="1:17" s="1077" customFormat="1" ht="15">
      <c r="A56" s="1074"/>
      <c r="B56" s="1074"/>
      <c r="C56" s="1074"/>
      <c r="D56" s="1074"/>
      <c r="E56" s="1074"/>
      <c r="F56" s="1074"/>
      <c r="G56" s="1074"/>
      <c r="H56" s="1074"/>
      <c r="I56" s="1074"/>
      <c r="J56" s="1083"/>
      <c r="K56" s="1083"/>
      <c r="L56" s="1083"/>
      <c r="M56" s="1083"/>
      <c r="N56" s="1083"/>
      <c r="O56" s="1083"/>
      <c r="P56" s="1083"/>
      <c r="Q56" s="1083"/>
    </row>
    <row r="57" spans="1:17" s="1077" customFormat="1" ht="15" customHeight="1">
      <c r="A57" s="1074" t="s">
        <v>1088</v>
      </c>
      <c r="B57" s="1274" t="s">
        <v>1089</v>
      </c>
      <c r="C57" s="1274"/>
      <c r="D57" s="1274"/>
      <c r="E57" s="1274"/>
      <c r="F57" s="1274"/>
      <c r="G57" s="1074"/>
      <c r="H57" s="1074"/>
      <c r="I57" s="1074"/>
      <c r="J57" s="1083"/>
      <c r="K57" s="1083"/>
      <c r="L57" s="1083"/>
      <c r="M57" s="1083"/>
      <c r="N57" s="1083"/>
      <c r="O57" s="1083"/>
      <c r="P57" s="1083"/>
      <c r="Q57" s="1083"/>
    </row>
    <row r="58" spans="1:17" s="1077" customFormat="1" ht="15">
      <c r="A58" s="1073"/>
      <c r="B58" s="1274"/>
      <c r="C58" s="1274"/>
      <c r="D58" s="1274"/>
      <c r="E58" s="1274"/>
      <c r="F58" s="1274"/>
      <c r="G58" s="1074"/>
      <c r="H58" s="1074"/>
      <c r="I58" s="1074"/>
      <c r="J58" s="1083"/>
      <c r="K58" s="1083"/>
      <c r="L58" s="1083"/>
      <c r="M58" s="1083"/>
      <c r="N58" s="1083"/>
      <c r="O58" s="1083"/>
      <c r="P58" s="1083"/>
      <c r="Q58" s="1083"/>
    </row>
    <row r="59" spans="1:17" s="1077" customFormat="1" ht="15">
      <c r="A59" s="1083"/>
      <c r="B59" s="1083"/>
      <c r="C59" s="1083"/>
      <c r="D59" s="1083"/>
      <c r="E59" s="1083"/>
      <c r="F59" s="1083"/>
      <c r="G59" s="1083"/>
      <c r="H59" s="1083"/>
      <c r="I59" s="1083"/>
      <c r="J59" s="1083"/>
      <c r="K59" s="1083"/>
      <c r="L59" s="1083"/>
      <c r="M59" s="1083"/>
      <c r="N59" s="1083"/>
      <c r="O59" s="1083"/>
      <c r="P59" s="1083"/>
      <c r="Q59" s="1083"/>
    </row>
    <row r="60" spans="1:17" s="1077" customFormat="1" ht="15">
      <c r="A60" s="1107"/>
      <c r="B60" s="1083"/>
      <c r="C60" s="1083"/>
      <c r="D60" s="1083"/>
      <c r="E60" s="1083"/>
      <c r="F60" s="1083"/>
      <c r="G60" s="1083"/>
      <c r="H60" s="1083"/>
      <c r="I60" s="1083"/>
      <c r="J60" s="1083"/>
      <c r="K60" s="1083"/>
      <c r="L60" s="1083"/>
      <c r="M60" s="1083"/>
      <c r="N60" s="1083"/>
      <c r="O60" s="1083"/>
      <c r="P60" s="1083"/>
      <c r="Q60" s="1083"/>
    </row>
    <row r="61" spans="1:17" s="1077" customFormat="1" ht="15">
      <c r="A61" s="1107"/>
      <c r="B61" s="1083"/>
      <c r="C61" s="1083"/>
      <c r="D61" s="1083"/>
      <c r="E61" s="1083"/>
      <c r="F61" s="1083"/>
      <c r="G61" s="1083"/>
      <c r="H61" s="1083"/>
      <c r="I61" s="1083"/>
      <c r="J61" s="1083"/>
      <c r="K61" s="1083"/>
      <c r="L61" s="1083"/>
      <c r="M61" s="1083"/>
      <c r="N61" s="1083"/>
      <c r="O61" s="1083"/>
      <c r="P61" s="1083"/>
      <c r="Q61" s="1083"/>
    </row>
    <row r="62" spans="1:17" s="1077" customFormat="1" ht="15">
      <c r="A62" s="1107"/>
      <c r="B62" s="1083"/>
      <c r="C62" s="1083"/>
      <c r="D62" s="1083"/>
      <c r="E62" s="1083"/>
      <c r="F62" s="1083"/>
      <c r="G62" s="1083"/>
      <c r="H62" s="1083"/>
      <c r="I62" s="1083"/>
      <c r="J62" s="1083"/>
      <c r="K62" s="1083"/>
      <c r="L62" s="1083"/>
      <c r="M62" s="1083"/>
      <c r="N62" s="1083"/>
      <c r="O62" s="1083"/>
      <c r="P62" s="1083"/>
      <c r="Q62" s="1083"/>
    </row>
    <row r="63" spans="1:17" s="1077" customFormat="1" ht="15">
      <c r="A63" s="1107"/>
      <c r="B63" s="1083"/>
      <c r="C63" s="1083"/>
      <c r="D63" s="1083"/>
      <c r="E63" s="1083"/>
      <c r="F63" s="1083"/>
      <c r="G63" s="1083"/>
      <c r="H63" s="1083"/>
      <c r="I63" s="1083"/>
      <c r="J63" s="1083"/>
      <c r="K63" s="1083"/>
      <c r="L63" s="1083"/>
      <c r="M63" s="1083"/>
      <c r="N63" s="1083"/>
      <c r="O63" s="1083"/>
      <c r="P63" s="1083"/>
      <c r="Q63" s="1083"/>
    </row>
    <row r="64" spans="1:17" s="1077" customFormat="1" ht="15">
      <c r="A64" s="1107"/>
      <c r="B64" s="1083"/>
      <c r="C64" s="1083"/>
      <c r="D64" s="1083"/>
      <c r="E64" s="1083"/>
      <c r="F64" s="1083"/>
      <c r="G64" s="1083"/>
      <c r="H64" s="1083"/>
      <c r="I64" s="1083"/>
      <c r="J64" s="1083"/>
      <c r="K64" s="1083"/>
      <c r="L64" s="1083"/>
      <c r="M64" s="1083"/>
      <c r="N64" s="1083"/>
      <c r="O64" s="1083"/>
      <c r="P64" s="1083"/>
      <c r="Q64" s="1083"/>
    </row>
    <row r="65" spans="1:17" s="1077" customFormat="1" ht="15">
      <c r="A65" s="1107"/>
      <c r="B65" s="1083"/>
      <c r="C65" s="1083"/>
      <c r="D65" s="1083"/>
      <c r="E65" s="1083"/>
      <c r="F65" s="1083"/>
      <c r="G65" s="1083"/>
      <c r="H65" s="1083"/>
      <c r="I65" s="1083"/>
      <c r="J65" s="1083"/>
      <c r="K65" s="1083"/>
      <c r="L65" s="1083"/>
      <c r="M65" s="1083"/>
      <c r="N65" s="1083"/>
      <c r="O65" s="1083"/>
      <c r="P65" s="1083"/>
      <c r="Q65" s="1083"/>
    </row>
  </sheetData>
  <mergeCells count="7">
    <mergeCell ref="B57:F58"/>
    <mergeCell ref="A7:N7"/>
    <mergeCell ref="Q9:Q10"/>
    <mergeCell ref="A42:H45"/>
    <mergeCell ref="B47:H49"/>
    <mergeCell ref="B51:H52"/>
    <mergeCell ref="B54:I55"/>
  </mergeCells>
  <pageMargins left="0.7" right="0.7" top="0.75" bottom="0.75" header="0.3" footer="0.3"/>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B5E6-A08D-41B7-B083-61E55AAC92B3}">
  <dimension ref="A1:Q86"/>
  <sheetViews>
    <sheetView tabSelected="1" workbookViewId="0">
      <selection activeCell="D3" sqref="D3"/>
    </sheetView>
  </sheetViews>
  <sheetFormatPr defaultRowHeight="12.75"/>
  <cols>
    <col min="2" max="2" width="15.28515625" customWidth="1"/>
    <col min="3" max="3" width="4.140625" customWidth="1"/>
    <col min="4" max="4" width="21.28515625" customWidth="1"/>
    <col min="5" max="5" width="34.7109375" customWidth="1"/>
    <col min="6" max="6" width="18.7109375" customWidth="1"/>
    <col min="7" max="7" width="4.5703125" customWidth="1"/>
    <col min="8" max="8" width="18.42578125" customWidth="1"/>
    <col min="9" max="9" width="4.85546875" customWidth="1"/>
    <col min="10" max="10" width="20" customWidth="1"/>
    <col min="11" max="11" width="3.7109375" customWidth="1"/>
    <col min="12" max="14" width="17.5703125" customWidth="1"/>
  </cols>
  <sheetData>
    <row r="1" spans="1:17" ht="15.75">
      <c r="A1" s="1118" t="s">
        <v>1044</v>
      </c>
      <c r="B1" s="1117"/>
      <c r="C1" s="1117"/>
      <c r="D1" s="1117"/>
      <c r="E1" s="1117"/>
      <c r="F1" s="1117"/>
      <c r="G1" s="1117"/>
      <c r="H1" s="1117"/>
      <c r="I1" s="1117"/>
      <c r="J1" s="1117"/>
      <c r="K1" s="1117"/>
      <c r="L1" s="1120"/>
      <c r="M1" s="1117"/>
      <c r="N1" s="1076"/>
      <c r="O1" s="1117"/>
      <c r="P1" s="1117"/>
      <c r="Q1" s="1117"/>
    </row>
    <row r="2" spans="1:17" ht="15">
      <c r="A2" s="1118" t="s">
        <v>1146</v>
      </c>
      <c r="B2" s="1117"/>
      <c r="C2" s="1117"/>
      <c r="D2" s="1117"/>
      <c r="E2" s="1117"/>
      <c r="F2" s="1117"/>
      <c r="G2" s="1117"/>
      <c r="H2" s="1117"/>
      <c r="I2" s="1117"/>
      <c r="J2" s="1117"/>
      <c r="K2" s="1117"/>
      <c r="L2" s="1121"/>
      <c r="M2" s="1117"/>
      <c r="N2" s="1079"/>
      <c r="O2" s="1117"/>
      <c r="P2" s="1117"/>
      <c r="Q2" s="1117"/>
    </row>
    <row r="3" spans="1:17" ht="15">
      <c r="A3" s="1118" t="s">
        <v>1047</v>
      </c>
      <c r="B3" s="1117"/>
      <c r="C3" s="1117"/>
      <c r="D3" s="1117"/>
      <c r="E3" s="1117"/>
      <c r="F3" s="1117"/>
      <c r="G3" s="1117"/>
      <c r="H3" s="1117"/>
      <c r="I3" s="1117"/>
      <c r="J3" s="1117"/>
      <c r="K3" s="1117"/>
      <c r="L3" s="1117"/>
      <c r="M3" s="1117"/>
      <c r="N3" s="1079"/>
      <c r="O3" s="1117"/>
      <c r="P3" s="1117"/>
      <c r="Q3" s="1117"/>
    </row>
    <row r="4" spans="1:17" ht="15">
      <c r="A4" s="1118" t="s">
        <v>1129</v>
      </c>
      <c r="B4" s="1117"/>
      <c r="C4" s="1117"/>
      <c r="D4" s="1117"/>
      <c r="E4" s="1117"/>
      <c r="F4" s="1117"/>
      <c r="G4" s="1117"/>
      <c r="H4" s="1117"/>
      <c r="I4" s="1117"/>
      <c r="J4" s="1117"/>
      <c r="K4" s="1117"/>
      <c r="L4" s="1117"/>
      <c r="M4" s="1117"/>
      <c r="N4" s="1076"/>
      <c r="O4" s="1117"/>
      <c r="P4" s="1117"/>
      <c r="Q4" s="1117"/>
    </row>
    <row r="5" spans="1:17" ht="15">
      <c r="A5" s="1118" t="s">
        <v>1051</v>
      </c>
      <c r="B5" s="1117"/>
      <c r="C5" s="1117"/>
      <c r="D5" s="1117"/>
      <c r="E5" s="1117"/>
      <c r="F5" s="1117"/>
      <c r="G5" s="1117"/>
      <c r="H5" s="1117"/>
      <c r="I5" s="1117"/>
      <c r="J5" s="1117"/>
      <c r="K5" s="1117"/>
      <c r="L5" s="1117"/>
      <c r="M5" s="1117"/>
      <c r="N5" s="1117"/>
      <c r="O5" s="1117"/>
      <c r="P5" s="1117"/>
      <c r="Q5" s="1117"/>
    </row>
    <row r="6" spans="1:17" ht="15">
      <c r="A6" s="1118" t="s">
        <v>931</v>
      </c>
      <c r="B6" s="1117"/>
      <c r="C6" s="1117"/>
      <c r="D6" s="1117"/>
      <c r="E6" s="1117"/>
      <c r="F6" s="1117"/>
      <c r="G6" s="1117"/>
      <c r="H6" s="1117"/>
      <c r="I6" s="1117"/>
      <c r="J6" s="1117"/>
      <c r="K6" s="1117"/>
      <c r="L6" s="1117"/>
      <c r="M6" s="1117"/>
      <c r="N6" s="1117"/>
      <c r="O6" s="1117"/>
      <c r="P6" s="1117"/>
      <c r="Q6" s="1117"/>
    </row>
    <row r="7" spans="1:17" ht="15">
      <c r="A7" s="1275" t="s">
        <v>1130</v>
      </c>
      <c r="B7" s="1275"/>
      <c r="C7" s="1275"/>
      <c r="D7" s="1275"/>
      <c r="E7" s="1275"/>
      <c r="F7" s="1275"/>
      <c r="G7" s="1275"/>
      <c r="H7" s="1275"/>
      <c r="I7" s="1275"/>
      <c r="J7" s="1275"/>
      <c r="K7" s="1275"/>
      <c r="L7" s="1275"/>
      <c r="M7" s="1275"/>
      <c r="N7" s="1275"/>
      <c r="O7" s="1117"/>
      <c r="P7" s="1117"/>
      <c r="Q7" s="1117"/>
    </row>
    <row r="9" spans="1:17" ht="15">
      <c r="A9" s="1122" t="s">
        <v>148</v>
      </c>
      <c r="B9" s="1123" t="s">
        <v>149</v>
      </c>
      <c r="C9" s="1123"/>
      <c r="D9" s="1144" t="s">
        <v>150</v>
      </c>
      <c r="E9" s="1123" t="s">
        <v>151</v>
      </c>
      <c r="F9" s="1123" t="s">
        <v>152</v>
      </c>
      <c r="G9" s="1123"/>
      <c r="H9" s="1123" t="s">
        <v>1054</v>
      </c>
      <c r="I9" s="1123"/>
      <c r="J9" s="1123" t="s">
        <v>154</v>
      </c>
      <c r="K9" s="1123"/>
      <c r="L9" s="1123" t="s">
        <v>1055</v>
      </c>
      <c r="M9" s="1123" t="s">
        <v>156</v>
      </c>
      <c r="N9" s="1123" t="s">
        <v>1056</v>
      </c>
      <c r="O9" s="1117"/>
      <c r="P9" s="1117"/>
      <c r="Q9" s="1279"/>
    </row>
    <row r="10" spans="1:17" ht="15">
      <c r="A10" s="1117"/>
      <c r="B10" s="1117"/>
      <c r="C10" s="1117"/>
      <c r="D10" s="1117"/>
      <c r="E10" s="1117"/>
      <c r="F10" s="1124"/>
      <c r="G10" s="1124"/>
      <c r="H10" s="1124"/>
      <c r="I10" s="1117"/>
      <c r="J10" s="1117"/>
      <c r="K10" s="1117"/>
      <c r="L10" s="1117"/>
      <c r="M10" s="1117"/>
      <c r="N10" s="1117"/>
      <c r="O10" s="1117"/>
      <c r="P10" s="1117"/>
      <c r="Q10" s="1279"/>
    </row>
    <row r="11" spans="1:17" ht="51.75">
      <c r="A11" s="1118" t="s">
        <v>1057</v>
      </c>
      <c r="B11" s="1119" t="s">
        <v>1058</v>
      </c>
      <c r="C11" s="1117"/>
      <c r="D11" s="1145" t="s">
        <v>1131</v>
      </c>
      <c r="E11" s="1123" t="s">
        <v>944</v>
      </c>
      <c r="F11" s="1125" t="s">
        <v>1060</v>
      </c>
      <c r="G11" s="1125"/>
      <c r="H11" s="1125" t="s">
        <v>1061</v>
      </c>
      <c r="I11" s="1126"/>
      <c r="J11" s="1125" t="s">
        <v>1062</v>
      </c>
      <c r="K11" s="1119"/>
      <c r="L11" s="1125" t="s">
        <v>1063</v>
      </c>
      <c r="M11" s="1125" t="s">
        <v>1064</v>
      </c>
      <c r="N11" s="1125" t="s">
        <v>1065</v>
      </c>
      <c r="O11" s="1117"/>
      <c r="P11" s="1117"/>
      <c r="Q11" s="1117"/>
    </row>
    <row r="12" spans="1:17" ht="15.75">
      <c r="A12" s="1117"/>
      <c r="B12" s="1117"/>
      <c r="C12" s="1117"/>
      <c r="D12" s="1145"/>
      <c r="E12" s="1123"/>
      <c r="F12" s="1125"/>
      <c r="G12" s="1125"/>
      <c r="H12" s="1125"/>
      <c r="I12" s="1126"/>
      <c r="J12" s="1125"/>
      <c r="K12" s="1119"/>
      <c r="L12" s="1125"/>
      <c r="M12" s="1117"/>
      <c r="N12" s="1124"/>
      <c r="O12" s="1117"/>
      <c r="P12" s="1117"/>
      <c r="Q12" s="1117"/>
    </row>
    <row r="13" spans="1:17" ht="15.75">
      <c r="A13" s="1127" t="s">
        <v>1066</v>
      </c>
      <c r="B13" s="1117"/>
      <c r="C13" s="1117"/>
      <c r="D13" s="1145"/>
      <c r="E13" s="1123"/>
      <c r="F13" s="1125"/>
      <c r="G13" s="1125"/>
      <c r="H13" s="1125"/>
      <c r="I13" s="1126"/>
      <c r="J13" s="1125"/>
      <c r="K13" s="1119"/>
      <c r="L13" s="1125"/>
      <c r="M13" s="1117"/>
      <c r="N13" s="1124"/>
      <c r="O13" s="1117"/>
      <c r="P13" s="1117"/>
      <c r="Q13" s="1117"/>
    </row>
    <row r="14" spans="1:17" ht="15">
      <c r="A14" s="1117"/>
      <c r="B14" s="1117"/>
      <c r="C14" s="1117"/>
      <c r="D14" s="1146"/>
      <c r="E14" s="1077"/>
      <c r="F14" s="1087"/>
      <c r="G14" s="1087"/>
      <c r="H14" s="1087"/>
      <c r="I14" s="1087"/>
      <c r="J14" s="1087"/>
      <c r="K14" s="1087"/>
      <c r="L14" s="1087"/>
      <c r="M14" s="1077"/>
      <c r="N14" s="1077"/>
      <c r="O14" s="1117"/>
      <c r="P14" s="1117"/>
      <c r="Q14" s="1117"/>
    </row>
    <row r="15" spans="1:17" ht="15">
      <c r="A15" s="1128">
        <v>1</v>
      </c>
      <c r="B15" s="1089" t="s">
        <v>1132</v>
      </c>
      <c r="C15" s="1117"/>
      <c r="D15" s="1129">
        <v>-780338449</v>
      </c>
      <c r="E15" s="1077" t="s">
        <v>1133</v>
      </c>
      <c r="F15" s="1119"/>
      <c r="G15" s="1119"/>
      <c r="H15" s="1119"/>
      <c r="I15" s="1119"/>
      <c r="J15" s="1119"/>
      <c r="K15" s="1119"/>
      <c r="L15" s="1119"/>
      <c r="M15" s="1117"/>
      <c r="N15" s="1077"/>
      <c r="O15" s="1117"/>
      <c r="P15" s="1117"/>
      <c r="Q15" s="1117"/>
    </row>
    <row r="16" spans="1:17" ht="15.75">
      <c r="A16" s="1128">
        <v>2</v>
      </c>
      <c r="B16" s="1089"/>
      <c r="C16" s="1117"/>
      <c r="D16" s="1150">
        <v>0.96579400000000004</v>
      </c>
      <c r="E16" s="1077" t="s">
        <v>1134</v>
      </c>
      <c r="F16" s="1126"/>
      <c r="G16" s="1126"/>
      <c r="H16" s="1130"/>
      <c r="I16" s="1126"/>
      <c r="J16" s="1126"/>
      <c r="K16" s="1126"/>
      <c r="L16" s="1126"/>
      <c r="M16" s="1077"/>
      <c r="N16" s="1077"/>
      <c r="O16" s="1117"/>
      <c r="P16" s="1117"/>
      <c r="Q16" s="1117"/>
    </row>
    <row r="17" spans="1:16" ht="15.75">
      <c r="A17" s="1128">
        <v>3</v>
      </c>
      <c r="B17" s="1089"/>
      <c r="C17" s="1117"/>
      <c r="D17" s="1153">
        <v>6.5000000000000002E-2</v>
      </c>
      <c r="E17" s="1077" t="s">
        <v>1135</v>
      </c>
      <c r="F17" s="1126"/>
      <c r="G17" s="1126"/>
      <c r="H17" s="1130"/>
      <c r="I17" s="1126"/>
      <c r="J17" s="1126"/>
      <c r="K17" s="1126"/>
      <c r="L17" s="1126"/>
      <c r="M17" s="1077"/>
      <c r="N17" s="1077"/>
      <c r="O17" s="1117"/>
      <c r="P17" s="1117"/>
    </row>
    <row r="18" spans="1:16" ht="15.75">
      <c r="A18" s="1128">
        <v>4</v>
      </c>
      <c r="B18" s="1089"/>
      <c r="C18" s="1117"/>
      <c r="D18" s="1152">
        <v>-48987002.480877899</v>
      </c>
      <c r="E18" s="1119" t="s">
        <v>1136</v>
      </c>
      <c r="F18" s="1126"/>
      <c r="G18" s="1126"/>
      <c r="H18" s="1130"/>
      <c r="I18" s="1126"/>
      <c r="J18" s="1126"/>
      <c r="K18" s="1126"/>
      <c r="L18" s="1126"/>
      <c r="M18" s="1077"/>
      <c r="N18" s="1077"/>
      <c r="O18" s="1117"/>
      <c r="P18" s="1117"/>
    </row>
    <row r="19" spans="1:16" ht="15.75">
      <c r="A19" s="1128">
        <v>5</v>
      </c>
      <c r="B19" s="1089"/>
      <c r="C19" s="1117"/>
      <c r="D19" s="1152"/>
      <c r="E19" s="1117"/>
      <c r="F19" s="1126"/>
      <c r="G19" s="1126"/>
      <c r="H19" s="1130"/>
      <c r="I19" s="1126"/>
      <c r="J19" s="1126"/>
      <c r="K19" s="1126"/>
      <c r="L19" s="1126"/>
      <c r="M19" s="1077"/>
      <c r="N19" s="1077"/>
      <c r="O19" s="1117"/>
      <c r="P19" s="1117"/>
    </row>
    <row r="20" spans="1:16" ht="15.75">
      <c r="A20" s="1128">
        <v>6</v>
      </c>
      <c r="B20" s="1089"/>
      <c r="C20" s="1117"/>
      <c r="D20" s="1152">
        <v>-780338449</v>
      </c>
      <c r="E20" s="1077" t="s">
        <v>1133</v>
      </c>
      <c r="F20" s="1126"/>
      <c r="G20" s="1126"/>
      <c r="H20" s="1130"/>
      <c r="I20" s="1126"/>
      <c r="J20" s="1126"/>
      <c r="K20" s="1126"/>
      <c r="L20" s="1126"/>
      <c r="M20" s="1077"/>
      <c r="N20" s="1077"/>
      <c r="O20" s="1117"/>
      <c r="P20" s="1117"/>
    </row>
    <row r="21" spans="1:16" ht="15.75">
      <c r="A21" s="1128">
        <v>7</v>
      </c>
      <c r="B21" s="1089"/>
      <c r="C21" s="1117"/>
      <c r="D21" s="1150">
        <v>0.97713899999999998</v>
      </c>
      <c r="E21" s="1077" t="s">
        <v>1137</v>
      </c>
      <c r="F21" s="1126"/>
      <c r="G21" s="1126"/>
      <c r="H21" s="1130"/>
      <c r="I21" s="1126"/>
      <c r="J21" s="1126"/>
      <c r="K21" s="1126"/>
      <c r="L21" s="1126"/>
      <c r="M21" s="1077"/>
      <c r="N21" s="1077"/>
      <c r="O21" s="1117"/>
      <c r="P21" s="1117"/>
    </row>
    <row r="22" spans="1:16" ht="15.75">
      <c r="A22" s="1128">
        <v>8</v>
      </c>
      <c r="B22" s="1089"/>
      <c r="C22" s="1117"/>
      <c r="D22" s="1153">
        <v>6.5000000000000002E-2</v>
      </c>
      <c r="E22" s="1077" t="s">
        <v>1135</v>
      </c>
      <c r="F22" s="1126"/>
      <c r="G22" s="1126"/>
      <c r="H22" s="1130"/>
      <c r="I22" s="1126"/>
      <c r="J22" s="1126"/>
      <c r="K22" s="1126"/>
      <c r="L22" s="1126"/>
      <c r="M22" s="1077"/>
      <c r="N22" s="1077"/>
      <c r="O22" s="1117"/>
      <c r="P22" s="1117"/>
    </row>
    <row r="23" spans="1:16" ht="15.75">
      <c r="A23" s="1128">
        <v>9</v>
      </c>
      <c r="B23" s="1089"/>
      <c r="C23" s="1117"/>
      <c r="D23" s="1152">
        <v>-49562443.561631717</v>
      </c>
      <c r="E23" s="1119" t="s">
        <v>1138</v>
      </c>
      <c r="F23" s="1126"/>
      <c r="G23" s="1126"/>
      <c r="H23" s="1130"/>
      <c r="I23" s="1126"/>
      <c r="J23" s="1126"/>
      <c r="K23" s="1126"/>
      <c r="L23" s="1126"/>
      <c r="M23" s="1077"/>
      <c r="N23" s="1077"/>
      <c r="O23" s="1117"/>
      <c r="P23" s="1117"/>
    </row>
    <row r="24" spans="1:16" ht="15">
      <c r="A24" s="1128">
        <v>10</v>
      </c>
      <c r="B24" s="1089"/>
      <c r="C24" s="1117"/>
      <c r="D24" s="1143"/>
      <c r="E24" s="1117"/>
      <c r="F24" s="1087"/>
      <c r="G24" s="1087"/>
      <c r="H24" s="1090"/>
      <c r="I24" s="1131"/>
      <c r="J24" s="1087"/>
      <c r="K24" s="1087"/>
      <c r="L24" s="1087"/>
      <c r="M24" s="1077"/>
      <c r="N24" s="1077">
        <v>0</v>
      </c>
      <c r="O24" s="1117"/>
      <c r="P24" s="1117"/>
    </row>
    <row r="25" spans="1:16" ht="15">
      <c r="A25" s="1128">
        <v>11</v>
      </c>
      <c r="B25" s="1089"/>
      <c r="C25" s="1117"/>
      <c r="D25" s="1151">
        <v>575441.08075381815</v>
      </c>
      <c r="E25" s="1119" t="s">
        <v>1139</v>
      </c>
      <c r="F25" s="1154">
        <v>575441.08075381815</v>
      </c>
      <c r="G25" s="1092"/>
      <c r="H25" s="1095">
        <v>-1.1610425947587667E-2</v>
      </c>
      <c r="I25" s="1131"/>
      <c r="J25" s="1087"/>
      <c r="K25" s="1087"/>
      <c r="L25" s="1087">
        <v>575441.08075381815</v>
      </c>
      <c r="M25" s="1077"/>
      <c r="N25" s="1077">
        <v>-48987002.480877899</v>
      </c>
      <c r="O25" s="1117"/>
      <c r="P25" s="1117"/>
    </row>
    <row r="26" spans="1:16" ht="15">
      <c r="A26" s="1128">
        <v>12</v>
      </c>
      <c r="B26" s="1089"/>
      <c r="C26" s="1117"/>
      <c r="D26" s="1143"/>
      <c r="E26" s="1119" t="s">
        <v>1140</v>
      </c>
      <c r="F26" s="1087">
        <v>-120842.62695830181</v>
      </c>
      <c r="G26" s="1087"/>
      <c r="H26" s="1090"/>
      <c r="I26" s="1132"/>
      <c r="J26" s="1087">
        <v>0</v>
      </c>
      <c r="K26" s="1087"/>
      <c r="L26" s="1087">
        <v>-120842.62695830181</v>
      </c>
      <c r="M26" s="1077"/>
      <c r="N26" s="1077"/>
      <c r="O26" s="1117"/>
      <c r="P26" s="1117"/>
    </row>
    <row r="27" spans="1:16" ht="15">
      <c r="A27" s="1128">
        <v>13</v>
      </c>
      <c r="B27" s="1089"/>
      <c r="C27" s="1117"/>
      <c r="D27" s="1146"/>
      <c r="E27" s="1117"/>
      <c r="F27" s="1087"/>
      <c r="G27" s="1087"/>
      <c r="H27" s="1090"/>
      <c r="I27" s="1134"/>
      <c r="J27" s="1087"/>
      <c r="K27" s="1087"/>
      <c r="L27" s="1087"/>
      <c r="M27" s="1077"/>
      <c r="N27" s="1077"/>
      <c r="O27" s="1117"/>
      <c r="P27" s="1117"/>
    </row>
    <row r="28" spans="1:16" ht="15">
      <c r="A28" s="1128">
        <v>14</v>
      </c>
      <c r="B28" s="1117"/>
      <c r="C28" s="1117"/>
      <c r="D28" s="1117"/>
      <c r="E28" s="1077"/>
      <c r="F28" s="1087"/>
      <c r="G28" s="1087"/>
      <c r="H28" s="1133"/>
      <c r="I28" s="1094"/>
      <c r="J28" s="1087"/>
      <c r="K28" s="1087"/>
      <c r="L28" s="1087"/>
      <c r="M28" s="1077"/>
      <c r="N28" s="1077"/>
      <c r="O28" s="1117"/>
      <c r="P28" s="1117"/>
    </row>
    <row r="29" spans="1:16" ht="15">
      <c r="A29" s="1128">
        <v>15</v>
      </c>
      <c r="B29" s="1119" t="s">
        <v>118</v>
      </c>
      <c r="C29" s="1117"/>
      <c r="D29" s="1147">
        <v>-49562443.561631717</v>
      </c>
      <c r="E29" s="1077" t="s">
        <v>1141</v>
      </c>
      <c r="F29" s="1099">
        <v>454598.45379551634</v>
      </c>
      <c r="G29" s="1100"/>
      <c r="H29" s="1135"/>
      <c r="I29" s="1119"/>
      <c r="J29" s="1099">
        <v>0</v>
      </c>
      <c r="K29" s="1087"/>
      <c r="L29" s="1099">
        <v>454598.45379551634</v>
      </c>
      <c r="M29" s="1077"/>
      <c r="N29" s="1099">
        <v>-48987002.480877899</v>
      </c>
      <c r="O29" s="1117"/>
      <c r="P29" s="1117"/>
    </row>
    <row r="30" spans="1:16" ht="15">
      <c r="A30" s="1128"/>
      <c r="B30" s="1117"/>
      <c r="C30" s="1117"/>
      <c r="D30" s="1146"/>
      <c r="E30" s="1136"/>
      <c r="F30" s="1092"/>
      <c r="G30" s="1092"/>
      <c r="H30" s="1090"/>
      <c r="I30" s="1087"/>
      <c r="J30" s="1087"/>
      <c r="K30" s="1087"/>
      <c r="L30" s="1087"/>
      <c r="M30" s="1077"/>
      <c r="N30" s="1138"/>
      <c r="O30" s="1117"/>
      <c r="P30" s="1117"/>
    </row>
    <row r="31" spans="1:16" ht="15">
      <c r="A31" s="1137" t="s">
        <v>1079</v>
      </c>
      <c r="B31" s="1117"/>
      <c r="C31" s="1117"/>
      <c r="D31" s="1146"/>
      <c r="E31" s="1077"/>
      <c r="F31" s="1092"/>
      <c r="G31" s="1092"/>
      <c r="H31" s="1090"/>
      <c r="I31" s="1092"/>
      <c r="J31" s="1087"/>
      <c r="K31" s="1087"/>
      <c r="L31" s="1087"/>
      <c r="M31" s="1077"/>
      <c r="N31" s="1077"/>
      <c r="O31" s="1117"/>
      <c r="P31" s="1077"/>
    </row>
    <row r="32" spans="1:16" ht="15.75">
      <c r="A32" s="1128"/>
      <c r="B32" s="1117"/>
      <c r="C32" s="1117"/>
      <c r="D32" s="1117"/>
      <c r="E32" s="1117"/>
      <c r="F32" s="1094"/>
      <c r="G32" s="1094"/>
      <c r="H32" s="1090"/>
      <c r="I32" s="1119"/>
      <c r="J32" s="1126"/>
      <c r="K32" s="1087"/>
      <c r="L32" s="1087"/>
      <c r="M32" s="1117"/>
      <c r="N32" s="1077"/>
      <c r="O32" s="1117"/>
      <c r="P32" s="1077"/>
    </row>
    <row r="33" spans="1:16" ht="15">
      <c r="A33" s="1128">
        <v>16</v>
      </c>
      <c r="B33" s="1089" t="s">
        <v>1132</v>
      </c>
      <c r="C33" s="1117"/>
      <c r="D33" s="1129">
        <v>-6972534</v>
      </c>
      <c r="E33" s="1077" t="s">
        <v>1133</v>
      </c>
      <c r="F33" s="1119"/>
      <c r="G33" s="1119"/>
      <c r="H33" s="1119"/>
      <c r="I33" s="1119"/>
      <c r="J33" s="1119"/>
      <c r="K33" s="1119"/>
      <c r="L33" s="1087"/>
      <c r="M33" s="1117"/>
      <c r="N33" s="1077"/>
      <c r="O33" s="1117"/>
      <c r="P33" s="1077"/>
    </row>
    <row r="34" spans="1:16" ht="15.75">
      <c r="A34" s="1128">
        <v>17</v>
      </c>
      <c r="B34" s="1117"/>
      <c r="C34" s="1117"/>
      <c r="D34" s="1150">
        <v>0.96579400000000004</v>
      </c>
      <c r="E34" s="1077" t="s">
        <v>1134</v>
      </c>
      <c r="F34" s="1126"/>
      <c r="G34" s="1126"/>
      <c r="H34" s="1130"/>
      <c r="I34" s="1126"/>
      <c r="J34" s="1126"/>
      <c r="K34" s="1126"/>
      <c r="L34" s="1087"/>
      <c r="M34" s="1117"/>
      <c r="N34" s="1077"/>
      <c r="O34" s="1117"/>
      <c r="P34" s="1077"/>
    </row>
    <row r="35" spans="1:16" ht="15.75">
      <c r="A35" s="1128">
        <v>18</v>
      </c>
      <c r="B35" s="1117"/>
      <c r="C35" s="1117"/>
      <c r="D35" s="1153">
        <v>6.5000000000000002E-2</v>
      </c>
      <c r="E35" s="1077" t="s">
        <v>1135</v>
      </c>
      <c r="F35" s="1126"/>
      <c r="G35" s="1126"/>
      <c r="H35" s="1130"/>
      <c r="I35" s="1126"/>
      <c r="J35" s="1126"/>
      <c r="K35" s="1126"/>
      <c r="L35" s="1087"/>
      <c r="M35" s="1117"/>
      <c r="N35" s="1077"/>
      <c r="O35" s="1117"/>
      <c r="P35" s="1077"/>
    </row>
    <row r="36" spans="1:16" ht="15.75">
      <c r="A36" s="1128">
        <v>19</v>
      </c>
      <c r="B36" s="1117"/>
      <c r="C36" s="1117"/>
      <c r="D36" s="1152">
        <v>-437712.04762974003</v>
      </c>
      <c r="E36" s="1119" t="s">
        <v>1136</v>
      </c>
      <c r="F36" s="1126"/>
      <c r="G36" s="1126"/>
      <c r="H36" s="1130"/>
      <c r="I36" s="1126"/>
      <c r="J36" s="1126"/>
      <c r="K36" s="1126"/>
      <c r="L36" s="1087"/>
      <c r="M36" s="1117"/>
      <c r="N36" s="1077"/>
      <c r="O36" s="1117"/>
      <c r="P36" s="1077"/>
    </row>
    <row r="37" spans="1:16" ht="15.75">
      <c r="A37" s="1128">
        <v>20</v>
      </c>
      <c r="B37" s="1117"/>
      <c r="C37" s="1117"/>
      <c r="D37" s="1152"/>
      <c r="E37" s="1117"/>
      <c r="F37" s="1126"/>
      <c r="G37" s="1126"/>
      <c r="H37" s="1130"/>
      <c r="I37" s="1126"/>
      <c r="J37" s="1126"/>
      <c r="K37" s="1126"/>
      <c r="L37" s="1087"/>
      <c r="M37" s="1117"/>
      <c r="N37" s="1077"/>
      <c r="O37" s="1117"/>
      <c r="P37" s="1077"/>
    </row>
    <row r="38" spans="1:16" ht="15.75">
      <c r="A38" s="1128">
        <v>21</v>
      </c>
      <c r="B38" s="1117"/>
      <c r="C38" s="1117"/>
      <c r="D38" s="1152">
        <v>-6972534</v>
      </c>
      <c r="E38" s="1077" t="s">
        <v>1133</v>
      </c>
      <c r="F38" s="1126"/>
      <c r="G38" s="1126"/>
      <c r="H38" s="1130"/>
      <c r="I38" s="1126"/>
      <c r="J38" s="1126"/>
      <c r="K38" s="1126"/>
      <c r="L38" s="1087"/>
      <c r="M38" s="1117"/>
      <c r="N38" s="1077"/>
      <c r="O38" s="1117"/>
      <c r="P38" s="1077"/>
    </row>
    <row r="39" spans="1:16" ht="15.75">
      <c r="A39" s="1128">
        <v>22</v>
      </c>
      <c r="B39" s="1117"/>
      <c r="C39" s="1117"/>
      <c r="D39" s="1150">
        <v>0.97713899999999998</v>
      </c>
      <c r="E39" s="1077" t="s">
        <v>1137</v>
      </c>
      <c r="F39" s="1126"/>
      <c r="G39" s="1126"/>
      <c r="H39" s="1130"/>
      <c r="I39" s="1126"/>
      <c r="J39" s="1126"/>
      <c r="K39" s="1126"/>
      <c r="L39" s="1087"/>
      <c r="M39" s="1117"/>
      <c r="N39" s="1077"/>
      <c r="O39" s="1117"/>
      <c r="P39" s="1077"/>
    </row>
    <row r="40" spans="1:16" ht="15.75">
      <c r="A40" s="1128">
        <v>23</v>
      </c>
      <c r="B40" s="1117"/>
      <c r="C40" s="1117"/>
      <c r="D40" s="1153">
        <v>6.5000000000000002E-2</v>
      </c>
      <c r="E40" s="1077" t="s">
        <v>1135</v>
      </c>
      <c r="F40" s="1126"/>
      <c r="G40" s="1126"/>
      <c r="H40" s="1130"/>
      <c r="I40" s="1126"/>
      <c r="J40" s="1126"/>
      <c r="K40" s="1126"/>
      <c r="L40" s="1087"/>
      <c r="M40" s="1117"/>
      <c r="N40" s="1077"/>
      <c r="O40" s="1117"/>
      <c r="P40" s="1077"/>
    </row>
    <row r="41" spans="1:16" ht="15.75">
      <c r="A41" s="1128">
        <v>24</v>
      </c>
      <c r="B41" s="1117"/>
      <c r="C41" s="1117"/>
      <c r="D41" s="1152">
        <v>-442853.76851468999</v>
      </c>
      <c r="E41" s="1119" t="s">
        <v>1138</v>
      </c>
      <c r="F41" s="1126"/>
      <c r="G41" s="1126"/>
      <c r="H41" s="1130"/>
      <c r="I41" s="1126"/>
      <c r="J41" s="1126"/>
      <c r="K41" s="1126"/>
      <c r="L41" s="1087"/>
      <c r="M41" s="1117"/>
      <c r="N41" s="1077"/>
      <c r="O41" s="1117"/>
      <c r="P41" s="1077"/>
    </row>
    <row r="42" spans="1:16" ht="15">
      <c r="A42" s="1128">
        <v>25</v>
      </c>
      <c r="B42" s="1089"/>
      <c r="C42" s="1117"/>
      <c r="D42" s="1143"/>
      <c r="E42" s="1117"/>
      <c r="F42" s="1087"/>
      <c r="G42" s="1087"/>
      <c r="H42" s="1090"/>
      <c r="I42" s="1131"/>
      <c r="J42" s="1087"/>
      <c r="K42" s="1087"/>
      <c r="L42" s="1087">
        <v>0</v>
      </c>
      <c r="M42" s="1117"/>
      <c r="N42" s="1077">
        <v>0</v>
      </c>
      <c r="O42" s="1117"/>
      <c r="P42" s="1077"/>
    </row>
    <row r="43" spans="1:16" ht="15">
      <c r="A43" s="1128">
        <v>26</v>
      </c>
      <c r="B43" s="1089"/>
      <c r="C43" s="1117"/>
      <c r="D43" s="1151">
        <v>5141.7208849499584</v>
      </c>
      <c r="E43" s="1119" t="s">
        <v>1139</v>
      </c>
      <c r="F43" s="1155">
        <v>5141.7208849499584</v>
      </c>
      <c r="G43" s="1092"/>
      <c r="H43" s="1095">
        <v>-1.1610425947587712E-2</v>
      </c>
      <c r="I43" s="1131"/>
      <c r="J43" s="1087"/>
      <c r="K43" s="1087"/>
      <c r="L43" s="1087">
        <v>5141.7208849499584</v>
      </c>
      <c r="M43" s="1119" t="s">
        <v>964</v>
      </c>
      <c r="N43" s="1077">
        <v>-437712.04762974003</v>
      </c>
      <c r="O43" s="1119"/>
      <c r="P43" s="1077"/>
    </row>
    <row r="44" spans="1:16" ht="15">
      <c r="A44" s="1128">
        <v>27</v>
      </c>
      <c r="B44" s="1089"/>
      <c r="C44" s="1117"/>
      <c r="D44" s="1143"/>
      <c r="E44" s="1119" t="s">
        <v>1140</v>
      </c>
      <c r="F44" s="1087">
        <v>-1079.7613858394911</v>
      </c>
      <c r="G44" s="1087"/>
      <c r="H44" s="1090"/>
      <c r="I44" s="1132"/>
      <c r="J44" s="1087">
        <v>0</v>
      </c>
      <c r="K44" s="1087"/>
      <c r="L44" s="1087">
        <v>-1079.7613858394911</v>
      </c>
      <c r="M44" s="1119" t="s">
        <v>964</v>
      </c>
      <c r="N44" s="1138"/>
      <c r="O44" s="1119"/>
      <c r="P44" s="1138"/>
    </row>
    <row r="45" spans="1:16" ht="15">
      <c r="A45" s="1128">
        <v>28</v>
      </c>
      <c r="B45" s="1117"/>
      <c r="C45" s="1117"/>
      <c r="D45" s="1148"/>
      <c r="E45" s="1077"/>
      <c r="F45" s="1092"/>
      <c r="G45" s="1092"/>
      <c r="H45" s="1090"/>
      <c r="I45" s="1092"/>
      <c r="J45" s="1087"/>
      <c r="K45" s="1087"/>
      <c r="L45" s="1087"/>
      <c r="M45" s="1117"/>
      <c r="N45" s="1077"/>
      <c r="O45" s="1119"/>
      <c r="P45" s="1077"/>
    </row>
    <row r="46" spans="1:16" ht="15">
      <c r="A46" s="1128">
        <v>29</v>
      </c>
      <c r="B46" s="1119" t="s">
        <v>118</v>
      </c>
      <c r="C46" s="1117"/>
      <c r="D46" s="1147">
        <v>-442853.76851468999</v>
      </c>
      <c r="E46" s="1077" t="s">
        <v>1142</v>
      </c>
      <c r="F46" s="1099">
        <v>4061.9594991104673</v>
      </c>
      <c r="G46" s="1100"/>
      <c r="H46" s="1139"/>
      <c r="I46" s="1119"/>
      <c r="J46" s="1099">
        <v>0</v>
      </c>
      <c r="K46" s="1087"/>
      <c r="L46" s="1099">
        <v>4061.9594991104673</v>
      </c>
      <c r="M46" s="1117"/>
      <c r="N46" s="1099">
        <v>-437712.04762974003</v>
      </c>
      <c r="O46" s="1119"/>
      <c r="P46" s="1077"/>
    </row>
    <row r="47" spans="1:16" ht="15">
      <c r="A47" s="1128"/>
      <c r="B47" s="1117"/>
      <c r="C47" s="1117"/>
      <c r="D47" s="1148"/>
      <c r="E47" s="1077"/>
      <c r="F47" s="1100"/>
      <c r="G47" s="1100"/>
      <c r="H47" s="1139"/>
      <c r="I47" s="1119"/>
      <c r="J47" s="1100"/>
      <c r="K47" s="1087"/>
      <c r="L47" s="1100"/>
      <c r="M47" s="1117"/>
      <c r="N47" s="1077"/>
      <c r="O47" s="1119"/>
      <c r="P47" s="1077"/>
    </row>
    <row r="48" spans="1:16" ht="15">
      <c r="A48" s="1128"/>
      <c r="B48" s="1117"/>
      <c r="C48" s="1117"/>
      <c r="D48" s="1148"/>
      <c r="E48" s="1077"/>
      <c r="F48" s="1100"/>
      <c r="G48" s="1100"/>
      <c r="H48" s="1139"/>
      <c r="I48" s="1119"/>
      <c r="J48" s="1100"/>
      <c r="K48" s="1087"/>
      <c r="L48" s="1100"/>
      <c r="M48" s="1117"/>
      <c r="N48" s="1077"/>
      <c r="O48" s="1119"/>
      <c r="P48" s="1077"/>
    </row>
    <row r="49" spans="1:16" ht="15">
      <c r="A49" s="1280" t="s">
        <v>1081</v>
      </c>
      <c r="B49" s="1280"/>
      <c r="C49" s="1280"/>
      <c r="D49" s="1280"/>
      <c r="E49" s="1280"/>
      <c r="F49" s="1280"/>
      <c r="G49" s="1280"/>
      <c r="H49" s="1280"/>
      <c r="I49" s="1119"/>
      <c r="J49" s="1119"/>
      <c r="K49" s="1119"/>
      <c r="L49" s="1119"/>
      <c r="M49" s="1117"/>
      <c r="N49" s="1077"/>
      <c r="O49" s="1119"/>
      <c r="P49" s="1077"/>
    </row>
    <row r="50" spans="1:16" ht="15">
      <c r="A50" s="1280"/>
      <c r="B50" s="1280"/>
      <c r="C50" s="1280"/>
      <c r="D50" s="1280"/>
      <c r="E50" s="1280"/>
      <c r="F50" s="1280"/>
      <c r="G50" s="1280"/>
      <c r="H50" s="1280"/>
      <c r="I50" s="1119"/>
      <c r="J50" s="1119"/>
      <c r="K50" s="1119"/>
      <c r="L50" s="1119"/>
      <c r="M50" s="1117"/>
      <c r="N50" s="1077"/>
      <c r="O50" s="1119"/>
      <c r="P50" s="1077"/>
    </row>
    <row r="51" spans="1:16" ht="15">
      <c r="A51" s="1280"/>
      <c r="B51" s="1280"/>
      <c r="C51" s="1280"/>
      <c r="D51" s="1280"/>
      <c r="E51" s="1280"/>
      <c r="F51" s="1280"/>
      <c r="G51" s="1280"/>
      <c r="H51" s="1280"/>
      <c r="I51" s="1119"/>
      <c r="J51" s="1119"/>
      <c r="K51" s="1119"/>
      <c r="L51" s="1119"/>
      <c r="M51" s="1117"/>
      <c r="N51" s="1077"/>
      <c r="O51" s="1119"/>
      <c r="P51" s="1077"/>
    </row>
    <row r="52" spans="1:16" ht="15">
      <c r="A52" s="1280"/>
      <c r="B52" s="1280"/>
      <c r="C52" s="1280"/>
      <c r="D52" s="1280"/>
      <c r="E52" s="1280"/>
      <c r="F52" s="1280"/>
      <c r="G52" s="1280"/>
      <c r="H52" s="1280"/>
      <c r="I52" s="1119"/>
      <c r="J52" s="1119"/>
      <c r="K52" s="1119"/>
      <c r="L52" s="1119"/>
      <c r="M52" s="1117"/>
      <c r="N52" s="1077"/>
      <c r="O52" s="1119"/>
      <c r="P52" s="1077"/>
    </row>
    <row r="53" spans="1:16" ht="15">
      <c r="A53" s="1128"/>
      <c r="B53" s="1117"/>
      <c r="C53" s="1117"/>
      <c r="D53" s="1117"/>
      <c r="E53" s="1117"/>
      <c r="F53" s="1119"/>
      <c r="G53" s="1119"/>
      <c r="H53" s="1119"/>
      <c r="I53" s="1119"/>
      <c r="J53" s="1119"/>
      <c r="K53" s="1119"/>
      <c r="L53" s="1119"/>
      <c r="M53" s="1117"/>
      <c r="N53" s="1077"/>
      <c r="O53" s="1119"/>
      <c r="P53" s="1077"/>
    </row>
    <row r="54" spans="1:16" ht="15">
      <c r="A54" s="1118" t="s">
        <v>1082</v>
      </c>
      <c r="B54" s="1280" t="s">
        <v>1083</v>
      </c>
      <c r="C54" s="1280"/>
      <c r="D54" s="1280"/>
      <c r="E54" s="1280"/>
      <c r="F54" s="1280"/>
      <c r="G54" s="1280"/>
      <c r="H54" s="1280"/>
      <c r="I54" s="1119"/>
      <c r="J54" s="1119"/>
      <c r="K54" s="1119"/>
      <c r="L54" s="1119"/>
      <c r="M54" s="1117"/>
      <c r="N54" s="1077"/>
      <c r="O54" s="1119"/>
      <c r="P54" s="1077"/>
    </row>
    <row r="55" spans="1:16" ht="15">
      <c r="A55" s="1117"/>
      <c r="B55" s="1280"/>
      <c r="C55" s="1280"/>
      <c r="D55" s="1280"/>
      <c r="E55" s="1280"/>
      <c r="F55" s="1280"/>
      <c r="G55" s="1280"/>
      <c r="H55" s="1280"/>
      <c r="I55" s="1119"/>
      <c r="J55" s="1119"/>
      <c r="K55" s="1119"/>
      <c r="L55" s="1119"/>
      <c r="M55" s="1117"/>
      <c r="N55" s="1077"/>
      <c r="O55" s="1119"/>
      <c r="P55" s="1077"/>
    </row>
    <row r="56" spans="1:16" ht="15">
      <c r="A56" s="1117"/>
      <c r="B56" s="1280"/>
      <c r="C56" s="1280"/>
      <c r="D56" s="1280"/>
      <c r="E56" s="1280"/>
      <c r="F56" s="1280"/>
      <c r="G56" s="1280"/>
      <c r="H56" s="1280"/>
      <c r="I56" s="1119"/>
      <c r="J56" s="1119"/>
      <c r="K56" s="1119"/>
      <c r="L56" s="1119"/>
      <c r="M56" s="1117"/>
      <c r="N56" s="1077"/>
      <c r="O56" s="1119"/>
      <c r="P56" s="1077"/>
    </row>
    <row r="57" spans="1:16" ht="15.75">
      <c r="A57" s="1119"/>
      <c r="B57" s="1117"/>
      <c r="C57" s="1117"/>
      <c r="D57" s="1117"/>
      <c r="E57" s="1117"/>
      <c r="F57" s="1117"/>
      <c r="G57" s="1117"/>
      <c r="H57" s="1117"/>
      <c r="I57" s="1126"/>
      <c r="J57" s="1077"/>
      <c r="K57" s="1077"/>
      <c r="L57" s="1077"/>
      <c r="M57" s="1077"/>
      <c r="N57" s="1077"/>
      <c r="O57" s="1117"/>
      <c r="P57" s="1117"/>
    </row>
    <row r="58" spans="1:16" ht="15">
      <c r="A58" s="1118" t="s">
        <v>1084</v>
      </c>
      <c r="B58" s="1280" t="s">
        <v>1143</v>
      </c>
      <c r="C58" s="1280"/>
      <c r="D58" s="1280"/>
      <c r="E58" s="1280"/>
      <c r="F58" s="1280"/>
      <c r="G58" s="1280"/>
      <c r="H58" s="1280"/>
      <c r="I58" s="1117"/>
      <c r="J58" s="1077"/>
      <c r="K58" s="1077"/>
      <c r="L58" s="1077"/>
      <c r="M58" s="1077"/>
      <c r="N58" s="1077"/>
      <c r="O58" s="1117"/>
      <c r="P58" s="1117"/>
    </row>
    <row r="59" spans="1:16" ht="15">
      <c r="A59" s="1117"/>
      <c r="B59" s="1280"/>
      <c r="C59" s="1280"/>
      <c r="D59" s="1280"/>
      <c r="E59" s="1280"/>
      <c r="F59" s="1280"/>
      <c r="G59" s="1280"/>
      <c r="H59" s="1280"/>
      <c r="I59" s="1117"/>
      <c r="J59" s="1077"/>
      <c r="K59" s="1077"/>
      <c r="L59" s="1077"/>
      <c r="M59" s="1077"/>
      <c r="N59" s="1077"/>
      <c r="O59" s="1117"/>
      <c r="P59" s="1117"/>
    </row>
    <row r="60" spans="1:16" ht="15">
      <c r="A60" s="1119"/>
      <c r="B60" s="1117"/>
      <c r="C60" s="1117"/>
      <c r="D60" s="1117"/>
      <c r="E60" s="1117"/>
      <c r="F60" s="1117"/>
      <c r="G60" s="1117"/>
      <c r="H60" s="1117"/>
      <c r="I60" s="1117"/>
      <c r="J60" s="1077"/>
      <c r="K60" s="1077"/>
      <c r="L60" s="1077"/>
      <c r="M60" s="1077"/>
      <c r="N60" s="1077"/>
      <c r="O60" s="1117"/>
      <c r="P60" s="1117"/>
    </row>
    <row r="61" spans="1:16" ht="15">
      <c r="A61" s="1118" t="s">
        <v>1086</v>
      </c>
      <c r="B61" s="1281" t="s">
        <v>1144</v>
      </c>
      <c r="C61" s="1281"/>
      <c r="D61" s="1281"/>
      <c r="E61" s="1281"/>
      <c r="F61" s="1281"/>
      <c r="G61" s="1281"/>
      <c r="H61" s="1281"/>
      <c r="I61" s="1281"/>
      <c r="J61" s="1077"/>
      <c r="K61" s="1077"/>
      <c r="L61" s="1077"/>
      <c r="M61" s="1077"/>
      <c r="N61" s="1077"/>
      <c r="O61" s="1117"/>
      <c r="P61" s="1117"/>
    </row>
    <row r="62" spans="1:16" ht="15.75">
      <c r="A62" s="1140"/>
      <c r="B62" s="1281"/>
      <c r="C62" s="1281"/>
      <c r="D62" s="1281"/>
      <c r="E62" s="1281"/>
      <c r="F62" s="1281"/>
      <c r="G62" s="1281"/>
      <c r="H62" s="1281"/>
      <c r="I62" s="1281"/>
      <c r="J62" s="1077"/>
      <c r="K62" s="1077"/>
      <c r="L62" s="1077"/>
      <c r="M62" s="1077"/>
      <c r="N62" s="1077"/>
      <c r="O62" s="1117"/>
      <c r="P62" s="1117"/>
    </row>
    <row r="63" spans="1:16" ht="15">
      <c r="A63" s="1119"/>
      <c r="B63" s="1117"/>
      <c r="C63" s="1117"/>
      <c r="D63" s="1117"/>
      <c r="E63" s="1117"/>
      <c r="F63" s="1117"/>
      <c r="G63" s="1117"/>
      <c r="H63" s="1117"/>
      <c r="I63" s="1117"/>
      <c r="J63" s="1077"/>
      <c r="K63" s="1077"/>
      <c r="L63" s="1077"/>
      <c r="M63" s="1077"/>
      <c r="N63" s="1077"/>
      <c r="O63" s="1117"/>
      <c r="P63" s="1117"/>
    </row>
    <row r="64" spans="1:16" ht="15">
      <c r="A64" s="1119" t="s">
        <v>1088</v>
      </c>
      <c r="B64" s="1278" t="s">
        <v>1145</v>
      </c>
      <c r="C64" s="1278"/>
      <c r="D64" s="1278"/>
      <c r="E64" s="1278"/>
      <c r="F64" s="1278"/>
      <c r="G64" s="1117"/>
      <c r="H64" s="1117"/>
      <c r="I64" s="1117"/>
      <c r="J64" s="1077"/>
      <c r="K64" s="1077"/>
      <c r="L64" s="1077"/>
      <c r="M64" s="1077"/>
      <c r="N64" s="1077"/>
      <c r="O64" s="1117"/>
      <c r="P64" s="1117"/>
    </row>
    <row r="65" spans="1:16" ht="15">
      <c r="A65" s="1117"/>
      <c r="B65" s="1278"/>
      <c r="C65" s="1278"/>
      <c r="D65" s="1278"/>
      <c r="E65" s="1278"/>
      <c r="F65" s="1278"/>
      <c r="G65" s="1117"/>
      <c r="H65" s="1117"/>
      <c r="I65" s="1117"/>
      <c r="J65" s="1077"/>
      <c r="K65" s="1077"/>
      <c r="L65" s="1077"/>
      <c r="M65" s="1077"/>
      <c r="N65" s="1077"/>
      <c r="O65" s="1117"/>
      <c r="P65" s="1117"/>
    </row>
    <row r="66" spans="1:16" ht="15">
      <c r="A66" s="1119"/>
      <c r="B66" s="1117"/>
      <c r="C66" s="1117"/>
      <c r="D66" s="1117"/>
      <c r="E66" s="1117"/>
      <c r="F66" s="1117"/>
      <c r="G66" s="1117"/>
      <c r="H66" s="1117"/>
      <c r="I66" s="1117"/>
      <c r="J66" s="1077"/>
      <c r="K66" s="1077"/>
      <c r="L66" s="1077"/>
      <c r="M66" s="1077"/>
      <c r="N66" s="1077"/>
      <c r="O66" s="1117"/>
      <c r="P66" s="1117"/>
    </row>
    <row r="67" spans="1:16" ht="15">
      <c r="A67" s="1119"/>
      <c r="B67" s="1117"/>
      <c r="C67" s="1117"/>
      <c r="D67" s="1117"/>
      <c r="E67" s="1117"/>
      <c r="F67" s="1117"/>
      <c r="G67" s="1117"/>
      <c r="H67" s="1117"/>
      <c r="I67" s="1117"/>
      <c r="J67" s="1077"/>
      <c r="K67" s="1077"/>
      <c r="L67" s="1077"/>
      <c r="M67" s="1077"/>
      <c r="N67" s="1077"/>
      <c r="O67" s="1117"/>
      <c r="P67" s="1117"/>
    </row>
    <row r="68" spans="1:16" ht="15">
      <c r="A68" s="1117"/>
      <c r="B68" s="1117"/>
      <c r="C68" s="1117"/>
      <c r="D68" s="1117"/>
      <c r="E68" s="1141"/>
      <c r="F68" s="1117"/>
      <c r="G68" s="1117"/>
      <c r="H68" s="1117"/>
      <c r="I68" s="1077"/>
      <c r="J68" s="1077"/>
      <c r="K68" s="1077"/>
      <c r="L68" s="1077"/>
      <c r="M68" s="1117"/>
      <c r="N68" s="1117"/>
      <c r="O68" s="1117"/>
      <c r="P68" s="1117"/>
    </row>
    <row r="69" spans="1:16" ht="15">
      <c r="A69" s="1117"/>
      <c r="B69" s="1117"/>
      <c r="C69" s="1117"/>
      <c r="D69" s="1117"/>
      <c r="E69" s="1117"/>
      <c r="F69" s="1117"/>
      <c r="G69" s="1142"/>
      <c r="H69" s="1142"/>
      <c r="I69" s="1077"/>
      <c r="J69" s="1077"/>
      <c r="K69" s="1077"/>
      <c r="L69" s="1077"/>
      <c r="M69" s="1117"/>
      <c r="N69" s="1117"/>
      <c r="O69" s="1117"/>
      <c r="P69" s="1117"/>
    </row>
    <row r="70" spans="1:16" ht="15">
      <c r="A70" s="1117"/>
      <c r="B70" s="1117"/>
      <c r="C70" s="1117"/>
      <c r="D70" s="1117"/>
      <c r="E70" s="1117"/>
      <c r="F70" s="1117"/>
      <c r="G70" s="1142"/>
      <c r="H70" s="1142"/>
      <c r="I70" s="1077"/>
      <c r="J70" s="1117"/>
      <c r="K70" s="1117"/>
      <c r="L70" s="1117"/>
      <c r="M70" s="1117"/>
      <c r="N70" s="1117"/>
      <c r="O70" s="1117"/>
      <c r="P70" s="1117"/>
    </row>
    <row r="71" spans="1:16" ht="15">
      <c r="A71" s="1117"/>
      <c r="B71" s="1117"/>
      <c r="C71" s="1117"/>
      <c r="D71" s="1117"/>
      <c r="E71" s="1117"/>
      <c r="F71" s="1117"/>
      <c r="G71" s="1117"/>
      <c r="H71" s="1117"/>
      <c r="I71" s="1117"/>
      <c r="J71" s="1117"/>
      <c r="K71" s="1117"/>
      <c r="L71" s="1117"/>
      <c r="M71" s="1117"/>
      <c r="N71" s="1117"/>
      <c r="O71" s="1117"/>
      <c r="P71" s="1117"/>
    </row>
    <row r="74" spans="1:16" ht="15.75">
      <c r="A74" s="1140"/>
      <c r="B74" s="1126"/>
      <c r="C74" s="1126"/>
      <c r="D74" s="1149"/>
      <c r="E74" s="1126"/>
      <c r="F74" s="1126"/>
      <c r="G74" s="1126"/>
      <c r="H74" s="1126"/>
      <c r="I74" s="1126"/>
      <c r="J74" s="1126"/>
      <c r="K74" s="1126"/>
      <c r="L74" s="1126"/>
      <c r="M74" s="1126"/>
      <c r="N74" s="1126"/>
      <c r="O74" s="1126"/>
      <c r="P74" s="1117"/>
    </row>
    <row r="75" spans="1:16" ht="15.75">
      <c r="A75" s="1140"/>
      <c r="B75" s="1126"/>
      <c r="C75" s="1126"/>
      <c r="D75" s="1149"/>
      <c r="E75" s="1126"/>
      <c r="F75" s="1126"/>
      <c r="G75" s="1126"/>
      <c r="H75" s="1126"/>
      <c r="I75" s="1126"/>
      <c r="J75" s="1126"/>
      <c r="K75" s="1126"/>
      <c r="L75" s="1126"/>
      <c r="M75" s="1126"/>
      <c r="N75" s="1126"/>
      <c r="O75" s="1126"/>
      <c r="P75" s="1117"/>
    </row>
    <row r="76" spans="1:16" ht="15.75">
      <c r="A76" s="1140"/>
      <c r="B76" s="1126"/>
      <c r="C76" s="1126"/>
      <c r="D76" s="1149"/>
      <c r="E76" s="1126"/>
      <c r="F76" s="1126"/>
      <c r="G76" s="1126"/>
      <c r="H76" s="1126"/>
      <c r="I76" s="1126"/>
      <c r="J76" s="1126"/>
      <c r="K76" s="1126"/>
      <c r="L76" s="1126"/>
      <c r="M76" s="1126"/>
      <c r="N76" s="1126"/>
      <c r="O76" s="1126"/>
      <c r="P76" s="1117"/>
    </row>
    <row r="77" spans="1:16" ht="15">
      <c r="A77" s="1140"/>
      <c r="B77" s="1126"/>
      <c r="C77" s="1126"/>
      <c r="D77" s="1149"/>
      <c r="E77" s="1126"/>
      <c r="F77" s="1126"/>
      <c r="G77" s="1126"/>
      <c r="H77" s="1126"/>
      <c r="I77" s="1126"/>
      <c r="J77" s="1126"/>
      <c r="K77" s="1126"/>
      <c r="L77" s="1126"/>
      <c r="M77" s="1126"/>
      <c r="N77" s="1126"/>
      <c r="O77" s="1126"/>
      <c r="P77" s="1077"/>
    </row>
    <row r="78" spans="1:16" ht="15">
      <c r="A78" s="1140"/>
      <c r="B78" s="1126"/>
      <c r="C78" s="1126"/>
      <c r="D78" s="1149"/>
      <c r="E78" s="1126"/>
      <c r="F78" s="1126"/>
      <c r="G78" s="1126"/>
      <c r="H78" s="1126"/>
      <c r="I78" s="1126"/>
      <c r="J78" s="1126"/>
      <c r="K78" s="1126"/>
      <c r="L78" s="1126"/>
      <c r="M78" s="1126"/>
      <c r="N78" s="1126"/>
      <c r="O78" s="1126"/>
      <c r="P78" s="1077"/>
    </row>
    <row r="79" spans="1:16" ht="15">
      <c r="A79" s="1140"/>
      <c r="B79" s="1126"/>
      <c r="C79" s="1126"/>
      <c r="D79" s="1149"/>
      <c r="E79" s="1126"/>
      <c r="F79" s="1126"/>
      <c r="G79" s="1126"/>
      <c r="H79" s="1126"/>
      <c r="I79" s="1126"/>
      <c r="J79" s="1126"/>
      <c r="K79" s="1126"/>
      <c r="L79" s="1126"/>
      <c r="M79" s="1126"/>
      <c r="N79" s="1126"/>
      <c r="O79" s="1126"/>
      <c r="P79" s="1077"/>
    </row>
    <row r="80" spans="1:16" ht="15">
      <c r="A80" s="1140"/>
      <c r="B80" s="1126"/>
      <c r="C80" s="1126"/>
      <c r="D80" s="1149"/>
      <c r="E80" s="1126"/>
      <c r="F80" s="1126"/>
      <c r="G80" s="1126"/>
      <c r="H80" s="1126"/>
      <c r="I80" s="1126"/>
      <c r="J80" s="1126"/>
      <c r="K80" s="1126"/>
      <c r="L80" s="1126"/>
      <c r="M80" s="1126"/>
      <c r="N80" s="1126"/>
      <c r="O80" s="1126"/>
      <c r="P80" s="1077"/>
    </row>
    <row r="81" spans="1:16" ht="15">
      <c r="A81" s="1140"/>
      <c r="B81" s="1126"/>
      <c r="C81" s="1126"/>
      <c r="D81" s="1149"/>
      <c r="E81" s="1126"/>
      <c r="F81" s="1126"/>
      <c r="G81" s="1126"/>
      <c r="H81" s="1126"/>
      <c r="I81" s="1126"/>
      <c r="J81" s="1126"/>
      <c r="K81" s="1126"/>
      <c r="L81" s="1126"/>
      <c r="M81" s="1126"/>
      <c r="N81" s="1126"/>
      <c r="O81" s="1126"/>
      <c r="P81" s="1077"/>
    </row>
    <row r="82" spans="1:16" ht="15">
      <c r="A82" s="1140"/>
      <c r="B82" s="1126"/>
      <c r="C82" s="1126"/>
      <c r="D82" s="1149"/>
      <c r="E82" s="1126"/>
      <c r="F82" s="1126"/>
      <c r="G82" s="1126"/>
      <c r="H82" s="1126"/>
      <c r="I82" s="1126"/>
      <c r="J82" s="1126"/>
      <c r="K82" s="1126"/>
      <c r="L82" s="1126"/>
      <c r="M82" s="1126"/>
      <c r="N82" s="1126"/>
      <c r="O82" s="1126"/>
      <c r="P82" s="1077"/>
    </row>
    <row r="83" spans="1:16" ht="15">
      <c r="A83" s="1140"/>
      <c r="B83" s="1126"/>
      <c r="C83" s="1126"/>
      <c r="D83" s="1149"/>
      <c r="E83" s="1126"/>
      <c r="F83" s="1126"/>
      <c r="G83" s="1126"/>
      <c r="H83" s="1126"/>
      <c r="I83" s="1126"/>
      <c r="J83" s="1126"/>
      <c r="K83" s="1126"/>
      <c r="L83" s="1126"/>
      <c r="M83" s="1126"/>
      <c r="N83" s="1126"/>
      <c r="O83" s="1126"/>
      <c r="P83" s="1077"/>
    </row>
    <row r="84" spans="1:16" ht="15">
      <c r="A84" s="1140"/>
      <c r="B84" s="1126"/>
      <c r="C84" s="1126"/>
      <c r="D84" s="1149"/>
      <c r="E84" s="1126"/>
      <c r="F84" s="1126"/>
      <c r="G84" s="1126"/>
      <c r="H84" s="1126"/>
      <c r="I84" s="1126"/>
      <c r="J84" s="1126"/>
      <c r="K84" s="1126"/>
      <c r="L84" s="1126"/>
      <c r="M84" s="1126"/>
      <c r="N84" s="1126"/>
      <c r="O84" s="1126"/>
      <c r="P84" s="1077"/>
    </row>
    <row r="85" spans="1:16" ht="15">
      <c r="A85" s="1140"/>
      <c r="B85" s="1126"/>
      <c r="C85" s="1126"/>
      <c r="D85" s="1149"/>
      <c r="E85" s="1126"/>
      <c r="F85" s="1126"/>
      <c r="G85" s="1126"/>
      <c r="H85" s="1126"/>
      <c r="I85" s="1126"/>
      <c r="J85" s="1126"/>
      <c r="K85" s="1126"/>
      <c r="L85" s="1126"/>
      <c r="M85" s="1126"/>
      <c r="N85" s="1126"/>
      <c r="O85" s="1126"/>
      <c r="P85" s="1077"/>
    </row>
    <row r="86" spans="1:16" ht="15.75">
      <c r="A86" s="1140"/>
      <c r="B86" s="1126"/>
      <c r="C86" s="1126"/>
      <c r="D86" s="1149"/>
      <c r="E86" s="1126"/>
      <c r="F86" s="1126"/>
      <c r="G86" s="1126"/>
      <c r="H86" s="1126"/>
      <c r="I86" s="1126"/>
      <c r="J86" s="1126"/>
      <c r="K86" s="1126"/>
      <c r="L86" s="1126"/>
      <c r="M86" s="1126"/>
      <c r="N86" s="1126"/>
      <c r="O86" s="1126"/>
      <c r="P86" s="1117"/>
    </row>
  </sheetData>
  <mergeCells count="7">
    <mergeCell ref="B64:F65"/>
    <mergeCell ref="A7:N7"/>
    <mergeCell ref="Q9:Q10"/>
    <mergeCell ref="A49:H52"/>
    <mergeCell ref="B54:H56"/>
    <mergeCell ref="B58:H59"/>
    <mergeCell ref="B61:I6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76"/>
  <sheetViews>
    <sheetView tabSelected="1" view="pageBreakPreview" topLeftCell="A4" zoomScaleNormal="85" zoomScaleSheetLayoutView="100" workbookViewId="0">
      <selection activeCell="D3" sqref="D3"/>
    </sheetView>
  </sheetViews>
  <sheetFormatPr defaultColWidth="11.42578125" defaultRowHeight="12.75"/>
  <cols>
    <col min="1" max="1" width="8.140625" style="53" customWidth="1"/>
    <col min="2" max="2" width="16.5703125" style="52" bestFit="1" customWidth="1"/>
    <col min="3" max="3" width="44.140625" style="52" customWidth="1"/>
    <col min="4" max="4" width="29.5703125" style="52" customWidth="1"/>
    <col min="5" max="5" width="24.42578125" style="52" customWidth="1"/>
    <col min="6" max="6" width="1" style="52" customWidth="1"/>
    <col min="7" max="7" width="20.85546875" style="52" customWidth="1"/>
    <col min="8" max="8" width="1" style="52" customWidth="1"/>
    <col min="9" max="9" width="19.140625" style="52" customWidth="1"/>
    <col min="10" max="10" width="16.5703125" style="52" customWidth="1"/>
    <col min="11" max="11" width="15.42578125" style="52" customWidth="1"/>
    <col min="12" max="12" width="33.5703125" style="52" customWidth="1"/>
    <col min="13" max="14" width="13.42578125" style="52" customWidth="1"/>
    <col min="15" max="15" width="13.5703125" style="52" customWidth="1"/>
    <col min="16" max="16384" width="11.42578125" style="52"/>
  </cols>
  <sheetData>
    <row r="1" spans="1:15" ht="15.75">
      <c r="A1" s="651" t="s">
        <v>114</v>
      </c>
    </row>
    <row r="2" spans="1:15" ht="15.75">
      <c r="A2" s="651" t="s">
        <v>114</v>
      </c>
    </row>
    <row r="3" spans="1:15" ht="15">
      <c r="A3" s="1254" t="str">
        <f>+'WS B ADIT &amp; ITC'!A3:I3</f>
        <v>AEP East Companies</v>
      </c>
      <c r="B3" s="1254"/>
      <c r="C3" s="1254"/>
      <c r="D3" s="1254"/>
      <c r="E3" s="1254"/>
      <c r="F3" s="1254"/>
      <c r="G3" s="1254"/>
      <c r="H3" s="1254"/>
      <c r="I3" s="1254"/>
      <c r="J3" s="1254"/>
      <c r="K3" s="1254"/>
      <c r="L3" s="1254"/>
      <c r="M3" s="28"/>
      <c r="N3" s="28"/>
      <c r="O3" s="28"/>
    </row>
    <row r="4" spans="1:15" ht="15">
      <c r="A4" s="1255" t="str">
        <f>"Cost of Service Formula Rate Using Actual/Projected FF1 Balances"</f>
        <v>Cost of Service Formula Rate Using Actual/Projected FF1 Balances</v>
      </c>
      <c r="B4" s="1255"/>
      <c r="C4" s="1255"/>
      <c r="D4" s="1255"/>
      <c r="E4" s="1255"/>
      <c r="F4" s="1255"/>
      <c r="G4" s="1255"/>
      <c r="H4" s="1255"/>
      <c r="I4" s="1255"/>
      <c r="J4" s="1255"/>
      <c r="K4" s="1255"/>
      <c r="L4" s="1255"/>
      <c r="M4" s="73"/>
      <c r="N4" s="73"/>
      <c r="O4" s="73"/>
    </row>
    <row r="5" spans="1:15" ht="15">
      <c r="A5" s="1255" t="s">
        <v>494</v>
      </c>
      <c r="B5" s="1255"/>
      <c r="C5" s="1255"/>
      <c r="D5" s="1255"/>
      <c r="E5" s="1255"/>
      <c r="F5" s="1255"/>
      <c r="G5" s="1255"/>
      <c r="H5" s="1255"/>
      <c r="I5" s="1255"/>
      <c r="J5" s="1255"/>
      <c r="K5" s="1255"/>
      <c r="L5" s="1255"/>
      <c r="M5" s="72"/>
      <c r="N5" s="72"/>
      <c r="O5" s="72"/>
    </row>
    <row r="6" spans="1:15" ht="15">
      <c r="A6" s="1263" t="str">
        <f>TCOS!F9</f>
        <v>WHEELING POWER COMPANY</v>
      </c>
      <c r="B6" s="1263"/>
      <c r="C6" s="1263"/>
      <c r="D6" s="1263"/>
      <c r="E6" s="1263"/>
      <c r="F6" s="1263"/>
      <c r="G6" s="1263"/>
      <c r="H6" s="1263"/>
      <c r="I6" s="1263"/>
      <c r="J6" s="1263"/>
      <c r="K6" s="1263"/>
      <c r="L6" s="1263"/>
      <c r="M6" s="2"/>
      <c r="N6" s="2"/>
      <c r="O6" s="2"/>
    </row>
    <row r="7" spans="1:15" ht="15">
      <c r="A7" s="2"/>
      <c r="B7" s="2"/>
      <c r="C7" s="2"/>
      <c r="D7" s="2"/>
      <c r="E7" s="2"/>
      <c r="F7" s="2"/>
      <c r="G7" s="2"/>
      <c r="H7"/>
    </row>
    <row r="8" spans="1:15" ht="12.75" customHeight="1">
      <c r="A8" s="61"/>
      <c r="B8" s="61" t="s">
        <v>162</v>
      </c>
      <c r="C8" s="61" t="s">
        <v>163</v>
      </c>
      <c r="D8" s="61" t="s">
        <v>4</v>
      </c>
      <c r="E8" s="61" t="s">
        <v>165</v>
      </c>
      <c r="F8" s="61"/>
      <c r="G8" s="61" t="s">
        <v>84</v>
      </c>
      <c r="H8" s="61"/>
      <c r="I8" s="61" t="s">
        <v>85</v>
      </c>
      <c r="J8" s="61" t="s">
        <v>86</v>
      </c>
      <c r="K8" s="61" t="s">
        <v>91</v>
      </c>
      <c r="L8" s="61" t="s">
        <v>499</v>
      </c>
      <c r="M8" s="61"/>
      <c r="N8" s="61"/>
      <c r="O8" s="61"/>
    </row>
    <row r="9" spans="1:15">
      <c r="A9" s="51"/>
    </row>
    <row r="10" spans="1:15" ht="18">
      <c r="A10" s="55"/>
      <c r="B10" s="1282" t="s">
        <v>207</v>
      </c>
      <c r="C10" s="1282"/>
      <c r="D10" s="1282"/>
      <c r="E10" s="1282"/>
      <c r="F10" s="1282"/>
      <c r="G10" s="1282"/>
      <c r="H10" s="1282"/>
      <c r="I10" s="1282"/>
      <c r="J10" s="1282"/>
      <c r="K10" s="1282"/>
    </row>
    <row r="11" spans="1:15">
      <c r="A11" s="55"/>
      <c r="I11"/>
      <c r="J11"/>
    </row>
    <row r="12" spans="1:15" ht="12.75" customHeight="1">
      <c r="A12" s="8" t="s">
        <v>169</v>
      </c>
      <c r="B12" s="55"/>
      <c r="C12" s="60"/>
      <c r="D12" s="142"/>
      <c r="E12" s="1261" t="str">
        <f>"Balance @ December 31, "&amp;TCOS!L4&amp;""</f>
        <v>Balance @ December 31, 2025</v>
      </c>
      <c r="F12" s="142"/>
      <c r="G12" s="1261" t="str">
        <f>"Balance @ December 31, "&amp;TCOS!L4-1&amp;""</f>
        <v>Balance @ December 31, 2024</v>
      </c>
      <c r="H12" s="187"/>
      <c r="I12" s="1264" t="str">
        <f>"Average Balance for "&amp;TCOS!L4&amp;""</f>
        <v>Average Balance for 2025</v>
      </c>
      <c r="J12" s="3"/>
      <c r="L12" s="61"/>
    </row>
    <row r="13" spans="1:15">
      <c r="A13" s="8" t="s">
        <v>106</v>
      </c>
      <c r="B13" s="53"/>
      <c r="C13" s="55"/>
      <c r="D13" s="143" t="s">
        <v>206</v>
      </c>
      <c r="E13" s="1262"/>
      <c r="F13" s="144"/>
      <c r="G13" s="1262"/>
      <c r="H13" s="145"/>
      <c r="I13" s="1262"/>
      <c r="J13" s="3"/>
      <c r="K13" s="62"/>
      <c r="L13" s="63"/>
      <c r="M13" s="56"/>
      <c r="N13" s="56"/>
    </row>
    <row r="14" spans="1:15">
      <c r="B14" s="53"/>
      <c r="C14" s="55"/>
      <c r="D14" s="59"/>
      <c r="E14" s="54"/>
      <c r="F14" s="54"/>
      <c r="G14" s="162"/>
      <c r="H14" s="58"/>
      <c r="J14"/>
      <c r="K14" s="62"/>
      <c r="L14" s="63"/>
      <c r="M14" s="56"/>
      <c r="N14" s="56"/>
    </row>
    <row r="15" spans="1:15">
      <c r="A15" s="53">
        <v>1</v>
      </c>
      <c r="B15" s="53"/>
      <c r="D15" s="47"/>
      <c r="E15" s="15"/>
      <c r="F15" s="15"/>
      <c r="G15" s="15"/>
      <c r="H15" s="15"/>
      <c r="I15" s="15"/>
      <c r="K15" s="15"/>
      <c r="L15" s="15"/>
      <c r="M15" s="56"/>
      <c r="N15" s="56"/>
    </row>
    <row r="16" spans="1:15">
      <c r="B16" s="53"/>
      <c r="C16" s="47"/>
      <c r="D16" s="47"/>
      <c r="E16" s="15"/>
      <c r="F16" s="15"/>
      <c r="G16" s="15"/>
      <c r="H16" s="15"/>
      <c r="I16" s="15"/>
      <c r="K16" s="15"/>
      <c r="L16" s="15"/>
      <c r="M16" s="56"/>
      <c r="N16" s="56"/>
    </row>
    <row r="17" spans="1:14">
      <c r="A17" s="53">
        <f>+A15+1</f>
        <v>2</v>
      </c>
      <c r="B17" s="53"/>
      <c r="C17" s="47" t="s">
        <v>525</v>
      </c>
      <c r="D17" s="57" t="s">
        <v>435</v>
      </c>
      <c r="E17" s="610">
        <v>0</v>
      </c>
      <c r="F17" s="15"/>
      <c r="G17" s="610">
        <v>1759</v>
      </c>
      <c r="H17" s="15"/>
      <c r="I17" s="100">
        <f>IF(G17="",0,(E17+G17)/2)</f>
        <v>879.5</v>
      </c>
      <c r="J17"/>
      <c r="K17" s="100"/>
      <c r="L17" s="15"/>
      <c r="M17" s="56"/>
      <c r="N17" s="56"/>
    </row>
    <row r="18" spans="1:14">
      <c r="B18" s="53"/>
      <c r="C18" s="47"/>
      <c r="D18"/>
      <c r="E18"/>
      <c r="F18"/>
      <c r="G18"/>
      <c r="H18"/>
      <c r="I18" s="3"/>
      <c r="J18"/>
      <c r="K18"/>
      <c r="L18" s="15"/>
      <c r="M18" s="56"/>
      <c r="N18" s="56"/>
    </row>
    <row r="19" spans="1:14">
      <c r="A19" s="1177" t="s">
        <v>979</v>
      </c>
      <c r="B19" s="1177"/>
      <c r="C19" s="1178" t="s">
        <v>1257</v>
      </c>
      <c r="D19" s="1179" t="s">
        <v>1258</v>
      </c>
      <c r="E19" s="1180"/>
      <c r="F19" s="107"/>
      <c r="G19" s="1180"/>
      <c r="H19" s="186"/>
      <c r="I19" s="1159">
        <f>IF(G19="",0,(E19+G19)/2)</f>
        <v>0</v>
      </c>
      <c r="J19"/>
      <c r="K19"/>
      <c r="L19" s="15"/>
      <c r="M19" s="56"/>
      <c r="N19" s="56"/>
    </row>
    <row r="20" spans="1:14">
      <c r="B20" s="53"/>
      <c r="C20" s="47"/>
      <c r="D20"/>
      <c r="E20"/>
      <c r="F20"/>
      <c r="G20"/>
      <c r="H20"/>
      <c r="I20" s="3"/>
      <c r="J20"/>
      <c r="K20"/>
      <c r="L20" s="15"/>
      <c r="M20" s="56"/>
      <c r="N20" s="56"/>
    </row>
    <row r="21" spans="1:14">
      <c r="A21" s="53">
        <f>+A17+1</f>
        <v>3</v>
      </c>
      <c r="B21" s="53"/>
      <c r="C21" s="47" t="s">
        <v>527</v>
      </c>
      <c r="D21" s="57" t="s">
        <v>436</v>
      </c>
      <c r="E21" s="610">
        <v>1736</v>
      </c>
      <c r="F21" s="15"/>
      <c r="G21" s="610">
        <v>10457</v>
      </c>
      <c r="H21" s="58"/>
      <c r="I21" s="100">
        <f>IF(G21="",0,(E21+G21)/2)</f>
        <v>6096.5</v>
      </c>
      <c r="J21"/>
      <c r="K21" s="62"/>
      <c r="L21" s="63"/>
      <c r="M21" s="56"/>
      <c r="N21" s="56"/>
    </row>
    <row r="22" spans="1:14">
      <c r="B22" s="53"/>
      <c r="C22" s="47"/>
      <c r="D22" s="57"/>
      <c r="E22"/>
      <c r="F22"/>
      <c r="G22"/>
      <c r="H22"/>
      <c r="I22"/>
      <c r="J22"/>
      <c r="K22" s="62"/>
      <c r="L22" s="63"/>
      <c r="M22" s="56"/>
      <c r="N22" s="56"/>
    </row>
    <row r="23" spans="1:14">
      <c r="A23" s="53">
        <f>+A21+1</f>
        <v>4</v>
      </c>
      <c r="B23" s="53"/>
      <c r="C23" s="47" t="s">
        <v>753</v>
      </c>
      <c r="D23" s="57" t="s">
        <v>437</v>
      </c>
      <c r="E23" s="610"/>
      <c r="F23" s="15"/>
      <c r="G23" s="610"/>
      <c r="H23" s="58"/>
      <c r="I23" s="100">
        <f>IF(G23="",0,(E23+G23)/2)</f>
        <v>0</v>
      </c>
      <c r="J23"/>
      <c r="K23" s="62"/>
      <c r="L23" s="63"/>
      <c r="M23" s="56"/>
      <c r="N23" s="56"/>
    </row>
    <row r="24" spans="1:14">
      <c r="B24" s="53"/>
      <c r="C24" s="55"/>
      <c r="D24" s="59"/>
      <c r="E24" s="54"/>
      <c r="F24" s="54"/>
      <c r="H24" s="58"/>
      <c r="J24"/>
      <c r="K24" s="62"/>
      <c r="L24" s="63"/>
      <c r="M24" s="56"/>
      <c r="N24" s="56"/>
    </row>
    <row r="25" spans="1:14">
      <c r="A25" s="133"/>
      <c r="B25" s="133"/>
      <c r="C25" s="134"/>
      <c r="D25" s="135"/>
      <c r="E25" s="136"/>
      <c r="F25" s="136"/>
      <c r="G25" s="137"/>
      <c r="H25" s="138"/>
      <c r="I25" s="137"/>
      <c r="J25" s="139"/>
      <c r="K25" s="140"/>
      <c r="L25" s="141"/>
      <c r="M25" s="56"/>
      <c r="N25" s="56"/>
    </row>
    <row r="26" spans="1:14" ht="18">
      <c r="B26" s="1282" t="s">
        <v>752</v>
      </c>
      <c r="C26" s="1282"/>
      <c r="D26" s="1282"/>
      <c r="E26" s="1282"/>
      <c r="F26" s="1282"/>
      <c r="G26" s="1282"/>
      <c r="H26" s="1282"/>
      <c r="I26" s="1282"/>
      <c r="J26" s="1282"/>
      <c r="K26" s="1282"/>
      <c r="L26" s="63"/>
      <c r="M26" s="56"/>
      <c r="N26" s="56"/>
    </row>
    <row r="27" spans="1:14" ht="12.75" customHeight="1">
      <c r="B27" s="111"/>
      <c r="C27" s="55"/>
      <c r="D27" s="15"/>
      <c r="E27" s="6"/>
      <c r="G27" s="6" t="s">
        <v>87</v>
      </c>
      <c r="I27" s="4" t="s">
        <v>115</v>
      </c>
      <c r="J27" s="4" t="s">
        <v>115</v>
      </c>
      <c r="K27" s="4" t="s">
        <v>179</v>
      </c>
      <c r="L27" s="63"/>
      <c r="M27" s="56"/>
      <c r="N27" s="56"/>
    </row>
    <row r="28" spans="1:14" ht="12.75" customHeight="1">
      <c r="B28" s="111"/>
      <c r="C28" s="55"/>
      <c r="D28" s="109" t="s">
        <v>500</v>
      </c>
      <c r="E28" s="4" t="s">
        <v>529</v>
      </c>
      <c r="G28" s="4" t="s">
        <v>115</v>
      </c>
      <c r="I28" s="4" t="s">
        <v>522</v>
      </c>
      <c r="J28" s="4" t="s">
        <v>161</v>
      </c>
      <c r="K28" s="4" t="s">
        <v>180</v>
      </c>
      <c r="L28" s="63"/>
      <c r="M28" s="56"/>
      <c r="N28" s="56"/>
    </row>
    <row r="29" spans="1:14" ht="12.75" customHeight="1">
      <c r="A29" s="53">
        <f>+A23+1</f>
        <v>5</v>
      </c>
      <c r="B29" s="111"/>
      <c r="C29" s="55"/>
      <c r="D29" s="8" t="s">
        <v>88</v>
      </c>
      <c r="E29" s="8" t="s">
        <v>501</v>
      </c>
      <c r="G29" s="8" t="s">
        <v>523</v>
      </c>
      <c r="I29" s="8" t="s">
        <v>523</v>
      </c>
      <c r="J29" s="8" t="s">
        <v>523</v>
      </c>
      <c r="K29" s="8" t="s">
        <v>524</v>
      </c>
      <c r="L29" s="63"/>
      <c r="M29" s="56"/>
      <c r="N29" s="56"/>
    </row>
    <row r="30" spans="1:14">
      <c r="B30" s="53"/>
      <c r="C30" s="55"/>
      <c r="D30" s="59"/>
      <c r="E30" s="54"/>
      <c r="F30" s="54"/>
      <c r="H30" s="58"/>
      <c r="J30"/>
      <c r="K30" s="163"/>
      <c r="L30" s="63"/>
      <c r="M30" s="56"/>
      <c r="N30" s="56"/>
    </row>
    <row r="31" spans="1:14">
      <c r="A31" s="53">
        <f>+A29+1</f>
        <v>6</v>
      </c>
      <c r="B31" s="53"/>
      <c r="C31" s="52" t="str">
        <f>"Totals as of December 31, "&amp;TCOS!L4&amp;""</f>
        <v>Totals as of December 31, 2025</v>
      </c>
      <c r="D31" s="112">
        <f>ROUND(D53,0)</f>
        <v>1357585</v>
      </c>
      <c r="E31" s="170">
        <f>ROUND(E53,0)</f>
        <v>-45576449</v>
      </c>
      <c r="F31" s="113"/>
      <c r="G31" s="112">
        <f>ROUND(G53,0)</f>
        <v>0</v>
      </c>
      <c r="H31" s="58"/>
      <c r="I31" s="112">
        <f>ROUND(I53,0)</f>
        <v>698388</v>
      </c>
      <c r="J31" s="114">
        <f>+J53</f>
        <v>46235646.096000001</v>
      </c>
      <c r="K31" s="112">
        <f>ROUND(K53,0)</f>
        <v>46934034</v>
      </c>
      <c r="L31" s="63"/>
      <c r="M31" s="56"/>
      <c r="N31" s="56"/>
    </row>
    <row r="32" spans="1:14">
      <c r="A32" s="53">
        <f>+A31+1</f>
        <v>7</v>
      </c>
      <c r="B32" s="53"/>
      <c r="C32" s="52" t="str">
        <f>"Totals as of December 31, "&amp;TCOS!L4-1&amp;""</f>
        <v>Totals as of December 31, 2024</v>
      </c>
      <c r="D32" s="117">
        <f>IF(D73="","",D73)</f>
        <v>1159441.5330000021</v>
      </c>
      <c r="E32" s="171">
        <f>IF(E73="","",E73)</f>
        <v>-44434357.339999996</v>
      </c>
      <c r="F32" s="54"/>
      <c r="G32" s="117" t="str">
        <f>IF(G73="","",G73)</f>
        <v/>
      </c>
      <c r="H32" s="58"/>
      <c r="I32" s="117">
        <f>IF(I73="","",I73)</f>
        <v>645342.93700000003</v>
      </c>
      <c r="J32" s="117">
        <f>IF(J73="","",J73)</f>
        <v>44948455.936000004</v>
      </c>
      <c r="K32" s="117">
        <f>IF(K73="","",K73)</f>
        <v>45593798.873000011</v>
      </c>
      <c r="L32" s="63"/>
      <c r="M32" s="56"/>
      <c r="N32" s="56"/>
    </row>
    <row r="33" spans="1:14" ht="13.5" thickBot="1">
      <c r="A33" s="53">
        <f>+A32+1</f>
        <v>8</v>
      </c>
      <c r="B33" s="53"/>
      <c r="C33" s="60" t="s">
        <v>213</v>
      </c>
      <c r="D33" s="118">
        <f>IF(D32="",0,(D31+D32)/2)</f>
        <v>1258513.2665000011</v>
      </c>
      <c r="E33" s="118">
        <f>IF(E32="",0,(E31+E32)/2)</f>
        <v>-45005403.170000002</v>
      </c>
      <c r="F33" s="119"/>
      <c r="G33" s="118">
        <f>IF(G32="",0,(G31+G32)/2)</f>
        <v>0</v>
      </c>
      <c r="H33" s="70"/>
      <c r="I33" s="118">
        <f>IF(I32="",0,(I31+I32)/2)</f>
        <v>671865.46849999996</v>
      </c>
      <c r="J33" s="118">
        <f>IF(J32="",0,(J31+J32)/2)</f>
        <v>45592051.016000003</v>
      </c>
      <c r="K33" s="118">
        <f>IF(K32="",0,(K31+K32)/2)</f>
        <v>46263916.436500005</v>
      </c>
      <c r="L33" s="63"/>
      <c r="M33" s="56"/>
      <c r="N33" s="56"/>
    </row>
    <row r="34" spans="1:14" ht="13.5" thickTop="1">
      <c r="B34" s="53"/>
      <c r="D34" s="59"/>
      <c r="E34" s="54"/>
      <c r="F34" s="54"/>
      <c r="H34" s="58"/>
      <c r="J34"/>
      <c r="K34" s="62"/>
      <c r="L34" s="63"/>
      <c r="M34" s="56"/>
      <c r="N34" s="56"/>
    </row>
    <row r="35" spans="1:14">
      <c r="A35" s="52"/>
      <c r="J35"/>
      <c r="K35" s="62"/>
      <c r="L35" s="63"/>
      <c r="M35" s="56"/>
      <c r="N35" s="56"/>
    </row>
    <row r="36" spans="1:14" ht="18">
      <c r="B36" s="1283" t="str">
        <f>"Prepayments Account 165 - Balance @ 12/31/"&amp;D38&amp;""</f>
        <v>Prepayments Account 165 - Balance @ 12/31/2025</v>
      </c>
      <c r="C36" s="1284"/>
      <c r="D36" s="1284"/>
      <c r="E36" s="1284"/>
      <c r="F36" s="1284"/>
      <c r="G36" s="1284"/>
      <c r="H36" s="1284"/>
      <c r="I36" s="1284"/>
      <c r="J36" s="1284"/>
      <c r="K36" s="62"/>
      <c r="L36" s="63"/>
      <c r="M36" s="56"/>
      <c r="N36" s="56"/>
    </row>
    <row r="37" spans="1:14">
      <c r="B37" s="105"/>
      <c r="C37" s="107"/>
      <c r="D37" s="15"/>
      <c r="E37" s="6"/>
      <c r="G37" s="6" t="s">
        <v>87</v>
      </c>
      <c r="I37" s="4" t="s">
        <v>115</v>
      </c>
      <c r="J37" s="4" t="s">
        <v>115</v>
      </c>
      <c r="K37" s="4" t="s">
        <v>179</v>
      </c>
      <c r="L37"/>
      <c r="M37" s="56"/>
      <c r="N37" s="56"/>
    </row>
    <row r="38" spans="1:14">
      <c r="B38" s="105"/>
      <c r="C38" s="108"/>
      <c r="D38" s="109" t="str">
        <f>""&amp;TCOS!L4</f>
        <v>2025</v>
      </c>
      <c r="E38" s="4" t="s">
        <v>529</v>
      </c>
      <c r="G38" s="4" t="s">
        <v>115</v>
      </c>
      <c r="I38" s="4" t="s">
        <v>522</v>
      </c>
      <c r="J38" s="4" t="s">
        <v>161</v>
      </c>
      <c r="K38" s="4" t="s">
        <v>180</v>
      </c>
      <c r="L38"/>
      <c r="M38" s="56"/>
      <c r="N38" s="56"/>
    </row>
    <row r="39" spans="1:14">
      <c r="A39" s="53">
        <f>+A33+1</f>
        <v>9</v>
      </c>
      <c r="B39" s="8" t="s">
        <v>90</v>
      </c>
      <c r="C39" s="8" t="s">
        <v>167</v>
      </c>
      <c r="D39" s="8" t="s">
        <v>88</v>
      </c>
      <c r="E39" s="8" t="s">
        <v>501</v>
      </c>
      <c r="G39" s="8" t="s">
        <v>523</v>
      </c>
      <c r="I39" s="8" t="s">
        <v>523</v>
      </c>
      <c r="J39" s="8" t="s">
        <v>523</v>
      </c>
      <c r="K39" s="8" t="s">
        <v>524</v>
      </c>
      <c r="L39" s="8" t="s">
        <v>39</v>
      </c>
      <c r="M39" s="56"/>
      <c r="N39" s="56"/>
    </row>
    <row r="40" spans="1:14">
      <c r="B40" s="105"/>
      <c r="C40" s="107"/>
      <c r="D40" s="107"/>
      <c r="E40" s="107"/>
      <c r="G40" s="107"/>
      <c r="I40" s="107"/>
      <c r="J40" s="107"/>
      <c r="K40" s="163"/>
      <c r="L40"/>
      <c r="M40" s="56"/>
      <c r="N40" s="56"/>
    </row>
    <row r="41" spans="1:14" ht="14.25">
      <c r="A41" s="53">
        <f>+A39+1</f>
        <v>10</v>
      </c>
      <c r="B41" s="611" t="s">
        <v>858</v>
      </c>
      <c r="C41" s="612" t="s">
        <v>859</v>
      </c>
      <c r="D41" s="613">
        <v>316958.26</v>
      </c>
      <c r="E41" s="75">
        <f>+D41-K41</f>
        <v>0</v>
      </c>
      <c r="G41" s="79"/>
      <c r="I41" s="79">
        <f>D41</f>
        <v>316958.26</v>
      </c>
      <c r="J41" s="79"/>
      <c r="K41" s="79">
        <f t="shared" ref="K41:K47" si="0">+G41+I41+J41</f>
        <v>316958.26</v>
      </c>
      <c r="L41" t="s">
        <v>530</v>
      </c>
      <c r="M41" s="56"/>
      <c r="N41" s="56"/>
    </row>
    <row r="42" spans="1:14" ht="14.25">
      <c r="A42" s="53">
        <f>+A41+1</f>
        <v>11</v>
      </c>
      <c r="B42" s="614" t="s">
        <v>1255</v>
      </c>
      <c r="C42" s="612" t="s">
        <v>886</v>
      </c>
      <c r="D42" s="613">
        <v>0</v>
      </c>
      <c r="E42" s="75"/>
      <c r="G42" s="79"/>
      <c r="I42" s="79"/>
      <c r="J42" s="79"/>
      <c r="K42" s="79">
        <f t="shared" si="0"/>
        <v>0</v>
      </c>
      <c r="L42" t="s">
        <v>886</v>
      </c>
      <c r="M42" s="56"/>
      <c r="N42" s="56"/>
    </row>
    <row r="43" spans="1:14" ht="14.25">
      <c r="A43" s="53">
        <f t="shared" ref="A43:A51" si="1">+A42+1</f>
        <v>12</v>
      </c>
      <c r="B43" s="966" t="s">
        <v>1256</v>
      </c>
      <c r="C43" s="612" t="s">
        <v>886</v>
      </c>
      <c r="D43" s="613">
        <v>0</v>
      </c>
      <c r="E43" s="75">
        <f t="shared" ref="E43" si="2">+D43-K43</f>
        <v>0</v>
      </c>
      <c r="G43" s="79"/>
      <c r="I43" s="79"/>
      <c r="J43" s="79"/>
      <c r="K43" s="79">
        <f t="shared" si="0"/>
        <v>0</v>
      </c>
      <c r="L43" t="s">
        <v>1010</v>
      </c>
      <c r="M43" s="56"/>
      <c r="N43" s="56"/>
    </row>
    <row r="44" spans="1:14" ht="14.25">
      <c r="A44" s="53">
        <f t="shared" si="1"/>
        <v>13</v>
      </c>
      <c r="B44" s="611" t="s">
        <v>1030</v>
      </c>
      <c r="C44" s="612" t="s">
        <v>1010</v>
      </c>
      <c r="D44" s="613">
        <v>135333.56</v>
      </c>
      <c r="E44" s="75">
        <f t="shared" ref="E44:E50" si="3">+D44-K44</f>
        <v>135333.56</v>
      </c>
      <c r="G44" s="102"/>
      <c r="I44" s="102"/>
      <c r="J44" s="102"/>
      <c r="K44" s="102"/>
      <c r="L44" t="s">
        <v>1010</v>
      </c>
      <c r="M44" s="56"/>
      <c r="N44" s="56"/>
    </row>
    <row r="45" spans="1:14" ht="14.25">
      <c r="A45" s="53">
        <f t="shared" si="1"/>
        <v>14</v>
      </c>
      <c r="B45" s="611" t="s">
        <v>860</v>
      </c>
      <c r="C45" s="612" t="s">
        <v>861</v>
      </c>
      <c r="D45" s="613">
        <v>34421934.369999997</v>
      </c>
      <c r="E45" s="75">
        <f t="shared" si="3"/>
        <v>0</v>
      </c>
      <c r="G45" s="79"/>
      <c r="I45" s="79"/>
      <c r="J45" s="79">
        <f>D45</f>
        <v>34421934.369999997</v>
      </c>
      <c r="K45" s="1159">
        <f t="shared" si="0"/>
        <v>34421934.369999997</v>
      </c>
      <c r="L45" t="s">
        <v>888</v>
      </c>
      <c r="M45" s="56"/>
      <c r="N45" s="56"/>
    </row>
    <row r="46" spans="1:14" ht="14.25">
      <c r="A46" s="53">
        <f t="shared" si="1"/>
        <v>15</v>
      </c>
      <c r="B46" s="611" t="s">
        <v>862</v>
      </c>
      <c r="C46" s="612" t="s">
        <v>863</v>
      </c>
      <c r="D46" s="613">
        <v>-34421934.369999997</v>
      </c>
      <c r="E46" s="75">
        <f t="shared" si="3"/>
        <v>-34421934.369999997</v>
      </c>
      <c r="G46" s="79"/>
      <c r="I46" s="79"/>
      <c r="J46" s="79"/>
      <c r="K46" s="102">
        <f t="shared" si="0"/>
        <v>0</v>
      </c>
      <c r="L46" s="3" t="s">
        <v>890</v>
      </c>
      <c r="M46" s="56"/>
      <c r="N46" s="56"/>
    </row>
    <row r="47" spans="1:14" ht="14.25">
      <c r="A47" s="53">
        <f t="shared" si="1"/>
        <v>16</v>
      </c>
      <c r="B47" s="967" t="s">
        <v>887</v>
      </c>
      <c r="C47" s="612" t="s">
        <v>864</v>
      </c>
      <c r="D47" s="613">
        <v>367700.92700000003</v>
      </c>
      <c r="E47" s="75">
        <f t="shared" si="3"/>
        <v>0</v>
      </c>
      <c r="G47" s="79"/>
      <c r="I47" s="79">
        <f>D47</f>
        <v>367700.92700000003</v>
      </c>
      <c r="J47" s="79"/>
      <c r="K47" s="102">
        <f t="shared" si="0"/>
        <v>367700.92700000003</v>
      </c>
      <c r="L47" t="s">
        <v>891</v>
      </c>
      <c r="M47" s="56"/>
      <c r="N47" s="56"/>
    </row>
    <row r="48" spans="1:14" ht="14.25">
      <c r="A48" s="53">
        <f t="shared" si="1"/>
        <v>17</v>
      </c>
      <c r="B48" s="967" t="s">
        <v>1314</v>
      </c>
      <c r="C48" s="612" t="s">
        <v>1313</v>
      </c>
      <c r="D48" s="613">
        <v>13728.82</v>
      </c>
      <c r="E48" s="75">
        <f>+D48-K48</f>
        <v>0</v>
      </c>
      <c r="G48" s="79"/>
      <c r="I48" s="79">
        <f>D48</f>
        <v>13728.82</v>
      </c>
      <c r="J48" s="79"/>
      <c r="K48" s="79">
        <f t="shared" ref="K48" si="4">+G48+I48+J48</f>
        <v>13728.82</v>
      </c>
      <c r="L48" t="s">
        <v>1315</v>
      </c>
      <c r="M48" s="56"/>
      <c r="N48" s="56"/>
    </row>
    <row r="49" spans="1:15" ht="14.25">
      <c r="A49" s="53">
        <f t="shared" si="1"/>
        <v>18</v>
      </c>
      <c r="B49" s="968" t="s">
        <v>1031</v>
      </c>
      <c r="C49" s="612" t="s">
        <v>1032</v>
      </c>
      <c r="D49" s="613">
        <v>11813711.726</v>
      </c>
      <c r="E49" s="75">
        <f t="shared" si="3"/>
        <v>0</v>
      </c>
      <c r="G49" s="102"/>
      <c r="I49" s="102"/>
      <c r="J49" s="102">
        <f>D49</f>
        <v>11813711.726</v>
      </c>
      <c r="K49" s="102">
        <f>+G49+I49+J49</f>
        <v>11813711.726</v>
      </c>
      <c r="L49" t="s">
        <v>892</v>
      </c>
      <c r="M49" s="56"/>
      <c r="N49" s="56"/>
    </row>
    <row r="50" spans="1:15" ht="14.25">
      <c r="A50" s="53">
        <f t="shared" si="1"/>
        <v>19</v>
      </c>
      <c r="B50" s="968" t="s">
        <v>1033</v>
      </c>
      <c r="C50" s="612" t="s">
        <v>1034</v>
      </c>
      <c r="D50" s="613">
        <v>-11813711.73</v>
      </c>
      <c r="E50" s="75">
        <f t="shared" si="3"/>
        <v>-11813711.73</v>
      </c>
      <c r="G50" s="102"/>
      <c r="I50" s="102"/>
      <c r="J50" s="102"/>
      <c r="K50" s="102">
        <f>+G50+I50+J50</f>
        <v>0</v>
      </c>
      <c r="L50" t="s">
        <v>890</v>
      </c>
      <c r="M50" s="56"/>
      <c r="N50" s="56"/>
    </row>
    <row r="51" spans="1:15" ht="14.25">
      <c r="A51" s="53">
        <f t="shared" si="1"/>
        <v>20</v>
      </c>
      <c r="B51" s="968" t="s">
        <v>1149</v>
      </c>
      <c r="C51" s="612" t="s">
        <v>1150</v>
      </c>
      <c r="D51" s="613">
        <v>523863.78</v>
      </c>
      <c r="E51" s="75">
        <f>D51</f>
        <v>523863.78</v>
      </c>
      <c r="G51" s="79"/>
      <c r="I51" s="79"/>
      <c r="J51" s="79"/>
      <c r="K51" s="79">
        <f t="shared" ref="K51" si="5">+G51+I51+J51</f>
        <v>0</v>
      </c>
      <c r="L51"/>
      <c r="M51" s="56"/>
      <c r="N51" s="56"/>
    </row>
    <row r="52" spans="1:15" ht="15" thickBot="1">
      <c r="A52" s="53" t="s">
        <v>114</v>
      </c>
      <c r="B52" s="614"/>
      <c r="C52" s="612"/>
      <c r="D52" s="613"/>
      <c r="E52" s="102"/>
      <c r="G52" s="79">
        <v>0</v>
      </c>
      <c r="I52" s="79"/>
      <c r="J52" s="79"/>
      <c r="K52" s="102"/>
      <c r="L52" t="s">
        <v>114</v>
      </c>
      <c r="M52" s="56"/>
      <c r="N52" s="56"/>
    </row>
    <row r="53" spans="1:15" ht="14.25">
      <c r="B53" s="105"/>
      <c r="C53" s="23" t="s">
        <v>502</v>
      </c>
      <c r="D53" s="615">
        <f>SUM(D41:D52)</f>
        <v>1357585.3429999992</v>
      </c>
      <c r="E53" s="169">
        <f>SUM(E41:E52)</f>
        <v>-45576448.75999999</v>
      </c>
      <c r="G53" s="110">
        <f>SUM(G41:G52)</f>
        <v>0</v>
      </c>
      <c r="I53" s="110">
        <f>SUM(I41:I52)</f>
        <v>698388.00699999998</v>
      </c>
      <c r="J53" s="110">
        <f>SUM(J41:J52)</f>
        <v>46235646.096000001</v>
      </c>
      <c r="K53" s="110">
        <f>SUM(K41:K52)</f>
        <v>46934034.103</v>
      </c>
      <c r="L53"/>
      <c r="M53" s="56"/>
      <c r="N53" s="56"/>
    </row>
    <row r="54" spans="1:15">
      <c r="K54" s="47"/>
      <c r="L54"/>
      <c r="M54" s="56"/>
      <c r="N54" s="56"/>
    </row>
    <row r="55" spans="1:15">
      <c r="B55"/>
      <c r="C55"/>
      <c r="D55"/>
      <c r="E55"/>
      <c r="F55"/>
      <c r="G55"/>
      <c r="H55"/>
      <c r="I55"/>
      <c r="J55"/>
      <c r="K55"/>
      <c r="L55"/>
      <c r="M55"/>
      <c r="N55"/>
      <c r="O55"/>
    </row>
    <row r="56" spans="1:15" ht="18">
      <c r="B56" s="1283" t="str">
        <f>"Prepayments Account 165 - Balance @ 12/31/ "&amp;D58&amp;""</f>
        <v>Prepayments Account 165 - Balance @ 12/31/ 2024</v>
      </c>
      <c r="C56" s="1283"/>
      <c r="D56" s="1283"/>
      <c r="E56" s="1283"/>
      <c r="F56" s="1283"/>
      <c r="G56" s="1283"/>
      <c r="H56" s="1283"/>
      <c r="I56" s="1283"/>
      <c r="J56" s="1283"/>
      <c r="K56" s="62"/>
      <c r="L56" s="63"/>
      <c r="M56" s="56"/>
      <c r="N56"/>
      <c r="O56"/>
    </row>
    <row r="57" spans="1:15">
      <c r="B57" s="180"/>
      <c r="C57" s="181"/>
      <c r="D57" s="182"/>
      <c r="E57" s="6"/>
      <c r="G57" s="6" t="s">
        <v>87</v>
      </c>
      <c r="I57" s="4" t="s">
        <v>115</v>
      </c>
      <c r="J57" s="4" t="s">
        <v>115</v>
      </c>
      <c r="K57" s="4" t="s">
        <v>179</v>
      </c>
      <c r="L57"/>
      <c r="M57" s="56"/>
      <c r="N57"/>
      <c r="O57"/>
    </row>
    <row r="58" spans="1:15">
      <c r="B58" s="180"/>
      <c r="C58" s="183"/>
      <c r="D58" s="4" t="str">
        <f>""&amp;TCOS!L4-1</f>
        <v>2024</v>
      </c>
      <c r="E58" s="4" t="s">
        <v>529</v>
      </c>
      <c r="G58" s="4" t="s">
        <v>115</v>
      </c>
      <c r="I58" s="4" t="s">
        <v>522</v>
      </c>
      <c r="J58" s="4" t="s">
        <v>161</v>
      </c>
      <c r="K58" s="4" t="s">
        <v>180</v>
      </c>
      <c r="L58"/>
      <c r="M58" s="56"/>
      <c r="N58"/>
      <c r="O58"/>
    </row>
    <row r="59" spans="1:15">
      <c r="A59" s="53">
        <f>A51+1</f>
        <v>21</v>
      </c>
      <c r="B59" s="8" t="s">
        <v>90</v>
      </c>
      <c r="C59" s="8" t="s">
        <v>167</v>
      </c>
      <c r="D59" s="8" t="s">
        <v>88</v>
      </c>
      <c r="E59" s="8" t="s">
        <v>501</v>
      </c>
      <c r="G59" s="8" t="s">
        <v>523</v>
      </c>
      <c r="I59" s="8" t="s">
        <v>523</v>
      </c>
      <c r="J59" s="8" t="s">
        <v>523</v>
      </c>
      <c r="K59" s="8" t="s">
        <v>524</v>
      </c>
      <c r="L59" s="8" t="s">
        <v>39</v>
      </c>
      <c r="M59" s="56"/>
      <c r="N59"/>
      <c r="O59"/>
    </row>
    <row r="60" spans="1:15">
      <c r="B60" s="105"/>
      <c r="C60" s="107"/>
      <c r="D60" s="107"/>
      <c r="E60" s="107"/>
      <c r="G60" s="107"/>
      <c r="I60" s="107"/>
      <c r="J60" s="107"/>
      <c r="K60" s="107"/>
      <c r="L60"/>
      <c r="M60" s="56"/>
      <c r="N60"/>
      <c r="O60"/>
    </row>
    <row r="61" spans="1:15" ht="14.25">
      <c r="A61" s="53">
        <f>+A59+1</f>
        <v>22</v>
      </c>
      <c r="B61" s="611" t="s">
        <v>858</v>
      </c>
      <c r="C61" s="612" t="s">
        <v>859</v>
      </c>
      <c r="D61" s="613">
        <v>314638.09000000003</v>
      </c>
      <c r="E61" s="75">
        <f>+D61-K61</f>
        <v>0</v>
      </c>
      <c r="G61" s="79"/>
      <c r="I61" s="79">
        <f>D61</f>
        <v>314638.09000000003</v>
      </c>
      <c r="J61" s="79"/>
      <c r="K61" s="79">
        <f t="shared" ref="K61:K63" si="6">+G61+I61+J61</f>
        <v>314638.09000000003</v>
      </c>
      <c r="L61" t="s">
        <v>530</v>
      </c>
      <c r="M61" s="56"/>
      <c r="N61"/>
      <c r="O61"/>
    </row>
    <row r="62" spans="1:15" ht="14.25">
      <c r="A62" s="53">
        <f>A61+1</f>
        <v>23</v>
      </c>
      <c r="B62" s="614" t="s">
        <v>1255</v>
      </c>
      <c r="C62" s="612" t="s">
        <v>886</v>
      </c>
      <c r="D62" s="613">
        <v>0</v>
      </c>
      <c r="E62" s="75"/>
      <c r="G62" s="79"/>
      <c r="I62" s="79"/>
      <c r="J62" s="79"/>
      <c r="K62" s="79">
        <f t="shared" si="6"/>
        <v>0</v>
      </c>
      <c r="L62" t="s">
        <v>886</v>
      </c>
      <c r="M62" s="56"/>
      <c r="N62"/>
      <c r="O62"/>
    </row>
    <row r="63" spans="1:15" ht="14.25">
      <c r="A63" s="53">
        <f t="shared" ref="A63:A71" si="7">+A62+1</f>
        <v>24</v>
      </c>
      <c r="B63" s="966" t="s">
        <v>1256</v>
      </c>
      <c r="C63" s="612" t="s">
        <v>886</v>
      </c>
      <c r="D63" s="613">
        <v>0</v>
      </c>
      <c r="E63" s="75">
        <f t="shared" ref="E63:E69" si="8">+D63-K63</f>
        <v>0</v>
      </c>
      <c r="G63" s="79"/>
      <c r="I63" s="79"/>
      <c r="J63" s="79"/>
      <c r="K63" s="79">
        <f t="shared" si="6"/>
        <v>0</v>
      </c>
      <c r="L63" t="s">
        <v>1010</v>
      </c>
      <c r="M63" s="56"/>
      <c r="N63"/>
      <c r="O63"/>
    </row>
    <row r="64" spans="1:15" ht="14.25">
      <c r="A64" s="53">
        <f t="shared" si="7"/>
        <v>25</v>
      </c>
      <c r="B64" s="611" t="s">
        <v>1030</v>
      </c>
      <c r="C64" s="612" t="s">
        <v>1010</v>
      </c>
      <c r="D64" s="613">
        <v>0</v>
      </c>
      <c r="E64" s="75">
        <f t="shared" si="8"/>
        <v>0</v>
      </c>
      <c r="G64" s="102"/>
      <c r="I64" s="102"/>
      <c r="J64" s="102"/>
      <c r="K64" s="102"/>
      <c r="L64" t="s">
        <v>1010</v>
      </c>
      <c r="M64" s="56"/>
      <c r="N64"/>
      <c r="O64"/>
    </row>
    <row r="65" spans="1:15" ht="14.25">
      <c r="A65" s="53">
        <f t="shared" si="7"/>
        <v>26</v>
      </c>
      <c r="B65" s="611" t="s">
        <v>860</v>
      </c>
      <c r="C65" s="612" t="s">
        <v>861</v>
      </c>
      <c r="D65" s="613">
        <v>33738709.210000001</v>
      </c>
      <c r="E65" s="75">
        <f t="shared" si="8"/>
        <v>0</v>
      </c>
      <c r="G65" s="79"/>
      <c r="I65" s="79"/>
      <c r="J65" s="79">
        <f>D65</f>
        <v>33738709.210000001</v>
      </c>
      <c r="K65" s="1159">
        <f t="shared" ref="K65:K67" si="9">+G65+I65+J65</f>
        <v>33738709.210000001</v>
      </c>
      <c r="L65" t="s">
        <v>888</v>
      </c>
      <c r="M65" s="56"/>
      <c r="N65"/>
      <c r="O65"/>
    </row>
    <row r="66" spans="1:15" ht="14.25">
      <c r="A66" s="53">
        <f t="shared" si="7"/>
        <v>27</v>
      </c>
      <c r="B66" s="611" t="s">
        <v>862</v>
      </c>
      <c r="C66" s="612" t="s">
        <v>863</v>
      </c>
      <c r="D66" s="613">
        <v>-33738709.210000001</v>
      </c>
      <c r="E66" s="75">
        <f t="shared" si="8"/>
        <v>-33738709.210000001</v>
      </c>
      <c r="G66" s="79"/>
      <c r="I66" s="79"/>
      <c r="J66" s="79"/>
      <c r="K66" s="102">
        <f t="shared" si="9"/>
        <v>0</v>
      </c>
      <c r="L66" s="3" t="s">
        <v>890</v>
      </c>
      <c r="M66" s="56"/>
      <c r="N66"/>
      <c r="O66"/>
    </row>
    <row r="67" spans="1:15" ht="14.25">
      <c r="A67" s="53">
        <f t="shared" si="7"/>
        <v>28</v>
      </c>
      <c r="B67" s="967" t="s">
        <v>887</v>
      </c>
      <c r="C67" s="612" t="s">
        <v>864</v>
      </c>
      <c r="D67" s="613">
        <v>330704.84700000001</v>
      </c>
      <c r="E67" s="75">
        <f t="shared" si="8"/>
        <v>0</v>
      </c>
      <c r="G67" s="79"/>
      <c r="I67" s="79">
        <f>D67</f>
        <v>330704.84700000001</v>
      </c>
      <c r="J67" s="79"/>
      <c r="K67" s="102">
        <f t="shared" si="9"/>
        <v>330704.84700000001</v>
      </c>
      <c r="L67" t="s">
        <v>891</v>
      </c>
      <c r="M67" s="56"/>
      <c r="N67"/>
      <c r="O67"/>
    </row>
    <row r="68" spans="1:15" ht="14.25">
      <c r="A68" s="53">
        <f t="shared" si="7"/>
        <v>29</v>
      </c>
      <c r="B68" s="968" t="s">
        <v>1031</v>
      </c>
      <c r="C68" s="612" t="s">
        <v>1032</v>
      </c>
      <c r="D68" s="613">
        <v>11209746.726</v>
      </c>
      <c r="E68" s="75">
        <f t="shared" si="8"/>
        <v>0</v>
      </c>
      <c r="G68" s="102"/>
      <c r="I68" s="102"/>
      <c r="J68" s="102">
        <f>D68</f>
        <v>11209746.726</v>
      </c>
      <c r="K68" s="102">
        <f>+G68+I68+J68</f>
        <v>11209746.726</v>
      </c>
      <c r="L68" t="s">
        <v>892</v>
      </c>
      <c r="M68" s="56"/>
      <c r="N68"/>
      <c r="O68"/>
    </row>
    <row r="69" spans="1:15" ht="14.25">
      <c r="A69" s="53">
        <f t="shared" si="7"/>
        <v>30</v>
      </c>
      <c r="B69" s="968" t="s">
        <v>1033</v>
      </c>
      <c r="C69" s="612" t="s">
        <v>1034</v>
      </c>
      <c r="D69" s="613">
        <v>-11209746.73</v>
      </c>
      <c r="E69" s="75">
        <f t="shared" si="8"/>
        <v>-11209746.73</v>
      </c>
      <c r="G69" s="102"/>
      <c r="I69" s="102"/>
      <c r="J69" s="102"/>
      <c r="K69" s="102">
        <f>+G69+I69+J69</f>
        <v>0</v>
      </c>
      <c r="L69" t="s">
        <v>890</v>
      </c>
      <c r="M69" s="56"/>
      <c r="N69"/>
      <c r="O69"/>
    </row>
    <row r="70" spans="1:15" ht="14.25">
      <c r="A70" s="53">
        <f t="shared" si="7"/>
        <v>31</v>
      </c>
      <c r="B70" s="968" t="s">
        <v>1149</v>
      </c>
      <c r="C70" s="612" t="s">
        <v>1150</v>
      </c>
      <c r="D70" s="613">
        <v>514098.60000000003</v>
      </c>
      <c r="E70" s="75">
        <f>D70</f>
        <v>514098.60000000003</v>
      </c>
      <c r="G70" s="79"/>
      <c r="I70" s="79"/>
      <c r="J70" s="79"/>
      <c r="K70" s="79">
        <f t="shared" ref="K70" si="10">+G70+I70+J70</f>
        <v>0</v>
      </c>
      <c r="L70"/>
      <c r="M70" s="56"/>
      <c r="N70"/>
      <c r="O70"/>
    </row>
    <row r="71" spans="1:15" ht="14.25">
      <c r="A71" s="53">
        <f t="shared" si="7"/>
        <v>32</v>
      </c>
      <c r="B71" s="614"/>
      <c r="C71" s="612"/>
      <c r="D71" s="613"/>
      <c r="E71" s="102"/>
      <c r="G71" s="79"/>
      <c r="I71" s="79"/>
      <c r="J71" s="79"/>
      <c r="K71" s="102"/>
      <c r="L71"/>
      <c r="M71" s="56"/>
      <c r="N71"/>
      <c r="O71"/>
    </row>
    <row r="72" spans="1:15" ht="13.5" thickBot="1">
      <c r="B72" s="18"/>
      <c r="C72" s="18"/>
      <c r="D72" s="102"/>
      <c r="E72" s="75"/>
      <c r="G72" s="79"/>
      <c r="I72" s="79"/>
      <c r="J72" s="79"/>
      <c r="K72" s="79"/>
      <c r="L72" t="s">
        <v>114</v>
      </c>
      <c r="M72" s="56"/>
      <c r="N72"/>
      <c r="O72"/>
    </row>
    <row r="73" spans="1:15" ht="14.25">
      <c r="B73" s="105"/>
      <c r="C73" s="23" t="s">
        <v>383</v>
      </c>
      <c r="D73" s="615">
        <f>IF(SUM(D61:D72)=0,"",SUM(D61:D72))</f>
        <v>1159441.5330000021</v>
      </c>
      <c r="E73" s="169">
        <f>IF(SUM(E61:E72)=0,"",SUM(E61:E72))</f>
        <v>-44434357.339999996</v>
      </c>
      <c r="G73" s="110" t="str">
        <f>IF(SUM(G61:G72)=0,"",SUM(G61:G72))</f>
        <v/>
      </c>
      <c r="I73" s="110">
        <f>IF(SUM(I61:I72)=0,"",SUM(I61:I72))</f>
        <v>645342.93700000003</v>
      </c>
      <c r="J73" s="110">
        <f>IF(SUM(J61:J72)=0,"",SUM(J61:J72))</f>
        <v>44948455.936000004</v>
      </c>
      <c r="K73" s="110">
        <f>IF(SUM(K61:K72)=0,"",SUM(K61:K72))</f>
        <v>45593798.873000011</v>
      </c>
      <c r="L73"/>
      <c r="M73" s="56"/>
      <c r="N73"/>
      <c r="O73"/>
    </row>
    <row r="74" spans="1:15">
      <c r="B74" s="53"/>
      <c r="C74"/>
      <c r="D74"/>
      <c r="E74"/>
      <c r="F74"/>
      <c r="G74"/>
      <c r="H74"/>
      <c r="I74"/>
      <c r="J74"/>
      <c r="K74"/>
      <c r="L74"/>
      <c r="M74"/>
      <c r="N74"/>
      <c r="O74"/>
    </row>
    <row r="75" spans="1:15" ht="18.75" customHeight="1">
      <c r="A75" s="53" t="s">
        <v>624</v>
      </c>
      <c r="B75" s="1260" t="s">
        <v>814</v>
      </c>
      <c r="C75" s="1260"/>
      <c r="D75" s="1260"/>
      <c r="E75" s="1260"/>
      <c r="F75" s="1260"/>
      <c r="G75" s="1260"/>
      <c r="H75" s="1260"/>
      <c r="I75" s="1260"/>
      <c r="J75" s="1260"/>
      <c r="K75" s="1260"/>
      <c r="L75" s="1260"/>
      <c r="M75"/>
      <c r="N75"/>
      <c r="O75"/>
    </row>
    <row r="76" spans="1:15" ht="18.75" customHeight="1">
      <c r="A76" s="3"/>
      <c r="B76" s="1260"/>
      <c r="C76" s="1260"/>
      <c r="D76" s="1260"/>
      <c r="E76" s="1260"/>
      <c r="F76" s="1260"/>
      <c r="G76" s="1260"/>
      <c r="H76" s="1260"/>
      <c r="I76" s="1260"/>
      <c r="J76" s="1260"/>
      <c r="K76" s="1260"/>
      <c r="L76" s="1260"/>
      <c r="M76"/>
      <c r="N76"/>
      <c r="O76"/>
    </row>
  </sheetData>
  <mergeCells count="12">
    <mergeCell ref="B75:L76"/>
    <mergeCell ref="B10:K10"/>
    <mergeCell ref="A3:L3"/>
    <mergeCell ref="A4:L4"/>
    <mergeCell ref="A5:L5"/>
    <mergeCell ref="A6:L6"/>
    <mergeCell ref="B56:J56"/>
    <mergeCell ref="B26:K26"/>
    <mergeCell ref="E12:E13"/>
    <mergeCell ref="I12:I13"/>
    <mergeCell ref="B36:J36"/>
    <mergeCell ref="G12:G13"/>
  </mergeCells>
  <phoneticPr fontId="8" type="noConversion"/>
  <pageMargins left="1.08" right="0.75" top="1" bottom="0.41" header="0.86" footer="0.27"/>
  <pageSetup scale="49"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jczNjg5PC9Vc2VyTmFtZT48RGF0ZVRpbWU+My8yNS8yMDIyIDU6NTg6MjI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817EAD97-6C11-42F2-90B9-3CDF5DCF87C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10E73A0-DB5F-4E25-9C09-DE69CADAEF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31</vt:i4>
      </vt:variant>
      <vt:variant>
        <vt:lpstr>Named Ranges</vt:lpstr>
      </vt:variant>
      <vt:variant>
        <vt:i4>9</vt:i4>
      </vt:variant>
    </vt:vector>
  </HeadingPairs>
  <TitlesOfParts>
    <vt:vector size="40"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WSQ NSPR</vt:lpstr>
      <vt:lpstr>WSQ Schedule 12</vt:lpstr>
      <vt:lpstr>WSQ Schedule 1A</vt:lpstr>
      <vt:lpstr>TCOS!Print_Area</vt:lpstr>
      <vt:lpstr>'WS B-2 - Actual Stmt. AG'!Print_Area</vt:lpstr>
      <vt:lpstr>'WS B-3'!Print_Area</vt:lpstr>
      <vt:lpstr>'WS B-3-A'!Print_Area</vt:lpstr>
      <vt:lpstr>'WS J PROJECTED RTEP RR'!Print_Area</vt:lpstr>
      <vt:lpstr>'WS L Reserved'!Print_Area</vt:lpstr>
      <vt:lpstr>'WS M - Cost of Capital'!Print_Area</vt:lpstr>
      <vt:lpstr>'WS O - PBOP'!Print_Area</vt:lpstr>
      <vt:lpstr>'WSQ NSPR'!Print_Area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2026-05-22T11:36:37Z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e9f171eb-81d2-4200-9fe2-d54d07563d07</vt:lpwstr>
  </property>
  <property fmtid="{D5CDD505-2E9C-101B-9397-08002B2CF9AE}" pid="3" name="bjSaver">
    <vt:lpwstr>HTegTYUHA5Eno747PWutbmINAXeRHZsu</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bjLabelHistoryID">
    <vt:lpwstr>{817EAD97-6C11-42F2-90B9-3CDF5DCF87C1}</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ies>
</file>